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20055" windowHeight="7875" activeTab="2"/>
  </bookViews>
  <sheets>
    <sheet name="Tabel 2.a" sheetId="10" r:id="rId1"/>
    <sheet name="Tabel 2.b" sheetId="2" r:id="rId2"/>
    <sheet name="Tabel 3.3" sheetId="12" r:id="rId3"/>
  </sheets>
  <definedNames>
    <definedName name="_1B.Aparatur_1">"$#REF!.$#REF!$#REF!"</definedName>
    <definedName name="_2B.Aparatur_2">"$#REF!.$#REF!$#REF!"</definedName>
    <definedName name="_3B.Aparatur_3">"$#REF!.$#REF!$#REF!"</definedName>
    <definedName name="_4B.Publik_1">"$#REF!.$#REF!$#REF!"</definedName>
    <definedName name="_5B.Publik_2">"$#REF!.$#REF!$#REF!"</definedName>
    <definedName name="_6B.Publik_3">"$#REF!.$#REF!$#REF!"</definedName>
    <definedName name="_7Excel_BuiltIn_Print_Titles_2">#N/A</definedName>
    <definedName name="B.Aparatur" localSheetId="2">#REF!</definedName>
    <definedName name="B.Aparatur">#REF!</definedName>
    <definedName name="B.Publik" localSheetId="2">#REF!</definedName>
    <definedName name="B.Publik">#REF!</definedName>
    <definedName name="dd" localSheetId="2">#REF!</definedName>
    <definedName name="dd">#REF!</definedName>
    <definedName name="Excel_BuiltIn_Print_Titles">#N/A</definedName>
    <definedName name="_xlnm.Print_Titles" localSheetId="0">'Tabel 2.a'!$5:$7</definedName>
    <definedName name="_xlnm.Print_Titles" localSheetId="1">'Tabel 2.b'!$3:$5</definedName>
    <definedName name="_xlnm.Print_Titles" localSheetId="2">'Tabel 3.3'!$5:$7</definedName>
  </definedNames>
  <calcPr calcId="124519"/>
</workbook>
</file>

<file path=xl/calcChain.xml><?xml version="1.0" encoding="utf-8"?>
<calcChain xmlns="http://schemas.openxmlformats.org/spreadsheetml/2006/main">
  <c r="O65" i="12"/>
  <c r="K65"/>
  <c r="O62"/>
  <c r="K62"/>
  <c r="O58"/>
  <c r="K58"/>
  <c r="O50"/>
  <c r="K50"/>
  <c r="K45"/>
  <c r="O42"/>
  <c r="K42"/>
  <c r="O39"/>
  <c r="K39"/>
  <c r="O23"/>
  <c r="K23"/>
  <c r="O10" l="1"/>
  <c r="K10"/>
  <c r="O48" l="1"/>
  <c r="O49"/>
  <c r="O45" l="1"/>
  <c r="O92" i="10"/>
  <c r="O91"/>
  <c r="O89"/>
  <c r="O88"/>
  <c r="O87"/>
  <c r="O86"/>
  <c r="O84"/>
  <c r="O85"/>
  <c r="O83"/>
  <c r="O82"/>
  <c r="O76"/>
  <c r="O77"/>
  <c r="O78"/>
  <c r="O79"/>
  <c r="O80"/>
  <c r="O81"/>
  <c r="O75"/>
  <c r="O74"/>
  <c r="O71"/>
  <c r="O72"/>
  <c r="O73"/>
  <c r="M89" l="1"/>
  <c r="M86"/>
  <c r="M82"/>
  <c r="M74"/>
  <c r="M69"/>
  <c r="O70" l="1"/>
  <c r="O69"/>
  <c r="L27" l="1"/>
  <c r="O43"/>
  <c r="O42"/>
  <c r="O41"/>
  <c r="O40"/>
  <c r="O38"/>
  <c r="O37"/>
  <c r="O36"/>
  <c r="O34"/>
  <c r="O33"/>
  <c r="O32"/>
  <c r="O30"/>
  <c r="O29"/>
  <c r="O23"/>
  <c r="O22"/>
  <c r="O21"/>
  <c r="O20"/>
  <c r="O19"/>
  <c r="O18"/>
  <c r="O16"/>
  <c r="O15"/>
  <c r="O14"/>
  <c r="O13"/>
  <c r="O12"/>
  <c r="O11"/>
  <c r="O10"/>
  <c r="J61"/>
  <c r="J52"/>
  <c r="J51"/>
  <c r="J50"/>
  <c r="J48"/>
  <c r="J47"/>
  <c r="J46"/>
  <c r="J45"/>
  <c r="J44"/>
  <c r="J40"/>
  <c r="J38"/>
  <c r="J36"/>
  <c r="J23"/>
  <c r="J10"/>
  <c r="I68"/>
  <c r="I67"/>
  <c r="I66"/>
  <c r="I65"/>
  <c r="I64"/>
  <c r="I63"/>
  <c r="I62"/>
  <c r="I61"/>
  <c r="I60"/>
  <c r="I58"/>
  <c r="I52"/>
  <c r="I51"/>
  <c r="I50"/>
  <c r="I49"/>
  <c r="I26"/>
  <c r="I25"/>
  <c r="I40"/>
  <c r="I39"/>
  <c r="I31"/>
  <c r="I30"/>
  <c r="I28"/>
  <c r="I27"/>
  <c r="H17"/>
  <c r="I48"/>
  <c r="I47"/>
  <c r="I46"/>
  <c r="I45"/>
  <c r="I44"/>
  <c r="I43"/>
  <c r="I42"/>
  <c r="I38"/>
  <c r="I36"/>
  <c r="I37"/>
  <c r="I34"/>
  <c r="I33"/>
  <c r="I32"/>
  <c r="I29"/>
  <c r="I23"/>
  <c r="I10"/>
  <c r="I22"/>
  <c r="I21"/>
  <c r="I20"/>
  <c r="I19"/>
  <c r="I18"/>
  <c r="I17"/>
  <c r="I16" l="1"/>
  <c r="I15"/>
  <c r="I14"/>
  <c r="I13"/>
  <c r="I12"/>
  <c r="I11"/>
  <c r="R60" i="12" l="1"/>
  <c r="Q60"/>
  <c r="P60"/>
  <c r="R59"/>
  <c r="Q59"/>
  <c r="P59"/>
  <c r="R61"/>
  <c r="Q61"/>
  <c r="P61"/>
  <c r="P64"/>
  <c r="R63"/>
  <c r="R62" s="1"/>
  <c r="Q63"/>
  <c r="Q62" s="1"/>
  <c r="P63"/>
  <c r="R69"/>
  <c r="Q69"/>
  <c r="P69"/>
  <c r="R67"/>
  <c r="Q67"/>
  <c r="P67"/>
  <c r="R66"/>
  <c r="Q66"/>
  <c r="P66"/>
  <c r="R68"/>
  <c r="Q68"/>
  <c r="P68"/>
  <c r="R53"/>
  <c r="Q53"/>
  <c r="P53"/>
  <c r="R52"/>
  <c r="Q52"/>
  <c r="P52"/>
  <c r="R51"/>
  <c r="Q51"/>
  <c r="P51"/>
  <c r="P55"/>
  <c r="R54"/>
  <c r="Q54"/>
  <c r="P54"/>
  <c r="R57"/>
  <c r="Q57"/>
  <c r="P57"/>
  <c r="P46"/>
  <c r="R48"/>
  <c r="Q48"/>
  <c r="P48"/>
  <c r="R49"/>
  <c r="Q49"/>
  <c r="P49"/>
  <c r="R47"/>
  <c r="Q47"/>
  <c r="P47"/>
  <c r="O37"/>
  <c r="K37"/>
  <c r="O35"/>
  <c r="K35"/>
  <c r="O9" l="1"/>
  <c r="R45"/>
  <c r="Q65"/>
  <c r="P62"/>
  <c r="Q58"/>
  <c r="R58"/>
  <c r="P50"/>
  <c r="R65"/>
  <c r="P58"/>
  <c r="Q45"/>
  <c r="P45"/>
  <c r="R50"/>
  <c r="Q50"/>
  <c r="P65"/>
  <c r="K9" l="1"/>
  <c r="K70" s="1"/>
  <c r="O70"/>
  <c r="Q70"/>
  <c r="P70"/>
  <c r="R70"/>
  <c r="H68" i="10" l="1"/>
  <c r="L68"/>
  <c r="H67"/>
  <c r="L67"/>
  <c r="H66"/>
  <c r="L66"/>
  <c r="H65"/>
  <c r="H58"/>
  <c r="L64"/>
  <c r="H64"/>
  <c r="L63"/>
  <c r="H63"/>
  <c r="L62"/>
  <c r="H62"/>
  <c r="H60"/>
  <c r="L60"/>
  <c r="L59"/>
  <c r="L58"/>
  <c r="L57"/>
  <c r="L55"/>
  <c r="L51"/>
  <c r="L50"/>
  <c r="L47"/>
  <c r="L46"/>
  <c r="L45"/>
  <c r="O17"/>
  <c r="O39"/>
  <c r="O31"/>
  <c r="O28"/>
  <c r="H25"/>
  <c r="H39"/>
  <c r="H31"/>
  <c r="H28"/>
  <c r="H32"/>
  <c r="H30"/>
  <c r="H27"/>
  <c r="H26"/>
  <c r="H18"/>
  <c r="L42"/>
  <c r="H42"/>
  <c r="L43"/>
  <c r="H43"/>
  <c r="L39"/>
  <c r="H37"/>
  <c r="L37"/>
  <c r="L34"/>
  <c r="H34"/>
  <c r="H35"/>
  <c r="L31"/>
  <c r="L28"/>
  <c r="L32"/>
  <c r="L33"/>
  <c r="H33"/>
  <c r="L30"/>
  <c r="L29"/>
  <c r="H29"/>
  <c r="L26"/>
  <c r="L25"/>
  <c r="H24"/>
  <c r="L22"/>
  <c r="H22"/>
  <c r="L21"/>
  <c r="H21"/>
  <c r="L20"/>
  <c r="H20"/>
  <c r="L19"/>
  <c r="H19"/>
  <c r="L18"/>
  <c r="L17"/>
  <c r="L16"/>
  <c r="H16"/>
  <c r="L15"/>
  <c r="H15"/>
  <c r="L14"/>
  <c r="H14"/>
  <c r="H13"/>
  <c r="L13"/>
  <c r="H12"/>
  <c r="L12"/>
  <c r="H11"/>
  <c r="L61"/>
  <c r="L52"/>
  <c r="L48"/>
  <c r="L44"/>
  <c r="L40"/>
  <c r="L38"/>
  <c r="L36"/>
  <c r="L23"/>
  <c r="L65" l="1"/>
  <c r="L56"/>
  <c r="L11"/>
  <c r="L10"/>
</calcChain>
</file>

<file path=xl/sharedStrings.xml><?xml version="1.0" encoding="utf-8"?>
<sst xmlns="http://schemas.openxmlformats.org/spreadsheetml/2006/main" count="1104" uniqueCount="325">
  <si>
    <t>Badan Penanggulangan Bencana Daerah</t>
  </si>
  <si>
    <t>Kode</t>
  </si>
  <si>
    <t>Urusan/Bidang Urusan Pemerintahan Daerah dan Program/Kegiatan</t>
  </si>
  <si>
    <t>Tingkat Realisasi (%)</t>
  </si>
  <si>
    <t>8 = (7/6)</t>
  </si>
  <si>
    <t>Bidang Urusan Penanggulangan Bencana</t>
  </si>
  <si>
    <t>Koordinasi, Monitoring dan Evaluasi Pelaksanaan Program Penanggulangan Bencana</t>
  </si>
  <si>
    <t>-</t>
  </si>
  <si>
    <t>02</t>
  </si>
  <si>
    <t>05</t>
  </si>
  <si>
    <t>06</t>
  </si>
  <si>
    <t>07</t>
  </si>
  <si>
    <t>08</t>
  </si>
  <si>
    <r>
      <rPr>
        <b/>
        <sz val="12"/>
        <color theme="1"/>
        <rFont val="Cambria"/>
        <family val="1"/>
      </rPr>
      <t>Tabel 2.2.</t>
    </r>
    <r>
      <rPr>
        <sz val="12"/>
        <color theme="1"/>
        <rFont val="Cambria"/>
        <family val="1"/>
      </rPr>
      <t xml:space="preserve"> Pencapaian kinerja pelayanan SKPD Badan Penanggulangan Bencana Daerah Provinsi Sumatera Barat</t>
    </r>
  </si>
  <si>
    <t>No.</t>
  </si>
  <si>
    <t>Indikator</t>
  </si>
  <si>
    <t>IKK (PP 6/2008)</t>
  </si>
  <si>
    <t>Target Renstra SKPD</t>
  </si>
  <si>
    <t>Realisasi Capaian</t>
  </si>
  <si>
    <t>Proyeksi</t>
  </si>
  <si>
    <t>Catatan Analisis</t>
  </si>
  <si>
    <t>SPM/Standar Nasional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</si>
  <si>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</si>
  <si>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</si>
  <si>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</si>
  <si>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</si>
  <si>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</si>
  <si>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</si>
  <si>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</si>
  <si>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</si>
  <si>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</si>
  <si>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</si>
  <si>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</si>
  <si>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</si>
  <si>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Lokasi</t>
  </si>
  <si>
    <t>Target Capaian</t>
  </si>
  <si>
    <t>Catatan Penting</t>
  </si>
  <si>
    <t>Padang</t>
  </si>
  <si>
    <t>Prov. Sumbar</t>
  </si>
  <si>
    <t>Target Capaian Kinerja</t>
  </si>
  <si>
    <t>Sumber Dana</t>
  </si>
  <si>
    <t>Urusan Wajib Lingkungan Hidup</t>
  </si>
  <si>
    <t>Program Peningkatan Mitigasi Bencana</t>
  </si>
  <si>
    <t>Penyusunan Perencanaan dan Kebijakan Penanggulangan Bencana</t>
  </si>
  <si>
    <t>Peningkatan Kapasitas Kelembagaan Penanggulangan Bencana Daerah</t>
  </si>
  <si>
    <t>Peningkatan Sarana dan Prasarana Pengurangan Risiko Bencana</t>
  </si>
  <si>
    <t>Peningkatan Kapasitas Kelembagaan Kesiapsiagaan Bencana</t>
  </si>
  <si>
    <t>APBD</t>
  </si>
  <si>
    <t>Peningkatan Kapasitas Kelembagaan Pengurangan Risiko Bencana</t>
  </si>
  <si>
    <t>Koordinasi Peningkatan Kapasitas Kelembagaan Kesiapsiagaan Bencana</t>
  </si>
  <si>
    <t>Meningkatnya mitigasi bencana (struktur dan non struktur) (%)</t>
  </si>
  <si>
    <t>Meningkatnya kesiapsiagaan menghadapi bencana (%)</t>
  </si>
  <si>
    <t>Peningkatan Informasi dan Sosialisasi Daerah Rawan Bencana</t>
  </si>
  <si>
    <t>Peningkatan Data dan Informasi Daerah Rawan Bencana (Data Informasi Bencana Indonesia/DIBI)</t>
  </si>
  <si>
    <t>Peningkatan Sarana dan Prasarana Kesiapsiagaan Bencana</t>
  </si>
  <si>
    <t>Pengembangan dan Peningkatan Operasional Pusdalops PB</t>
  </si>
  <si>
    <t>Peningkatan Peranserta Masyarakat Dalam Kesiapsiagaan Menghadapi Bencana</t>
  </si>
  <si>
    <t>Program Peningkatan Kesiapsiagaan Menghadapi Bencana</t>
  </si>
  <si>
    <t>Program Penanganan Tanggap Darurat Pasca Bencana</t>
  </si>
  <si>
    <t>Meningkatnya penanganan tanggap darurat pasca bencana (%)</t>
  </si>
  <si>
    <t>Peningkatan Sarana dan Prasarana Penanganan Tanggap Darurat</t>
  </si>
  <si>
    <t>Koordinasi Peningkatan Penanganan Tanggap Darurat</t>
  </si>
  <si>
    <t>Monitoring dan Evaluasi Pelaksanaan Penanganan Tanggap Darurat Bencana</t>
  </si>
  <si>
    <t>Program Pengelolaan dan Penanganan Dampak Bencana Alam</t>
  </si>
  <si>
    <t>Meningkatnya pengelolaan dan penanganan dampak bencana alam (%)</t>
  </si>
  <si>
    <t>Jumlah</t>
  </si>
  <si>
    <t>01</t>
  </si>
  <si>
    <t>Program Pelayanan Administrasi Perkantoran</t>
  </si>
  <si>
    <t>Terlaksananya kegiatan administrasi perkantoran (%)</t>
  </si>
  <si>
    <t>Penyediaan Jasa Surat Menyurat</t>
  </si>
  <si>
    <t>Jumlah surat yang dikelola sebanyak (lembar)</t>
  </si>
  <si>
    <t>Penyediaan Jasa Komunikasi, Sumber Daya Air dan Listrik</t>
  </si>
  <si>
    <t>Penyediaan Jasa Kebersihan Kantor</t>
  </si>
  <si>
    <t>Penyediaan Alat Tulis Kantor</t>
  </si>
  <si>
    <t>Penyediaan Barang Cetakan dan Penggandaan</t>
  </si>
  <si>
    <t>Penyediaan Komponen Instalasi Listrik/Penerangan Bangunan Kantor</t>
  </si>
  <si>
    <t>Penyediaan Peralatan dan Perlengkapan Kantor</t>
  </si>
  <si>
    <t>Penyediaan Bahan Bacaan dan Peraturan Perundang-undangan</t>
  </si>
  <si>
    <t>Penyediaan Makanan dan Minuman</t>
  </si>
  <si>
    <t>Penyediaan Jasa Pengamanan Kantor</t>
  </si>
  <si>
    <t>Program Peningkatan Sarana dan Prasarana Aparatur</t>
  </si>
  <si>
    <t>Terpenuhinya sarana dan prasarana aparatur dan terciptanya suasana yang kondusif (%)</t>
  </si>
  <si>
    <t>Pengadaan Komputer dan Jaringan Komputerisasi</t>
  </si>
  <si>
    <t>Pemeliharaan Rutin/Berkala Gedung Kantor</t>
  </si>
  <si>
    <t>Pemeliharaan Rutin/Berkala Kendaraan Dinas/Operasional</t>
  </si>
  <si>
    <t>Pemeliharaan Rutin/Berkala Instalasi dan Jaringan</t>
  </si>
  <si>
    <t>Rehabilitasi Sedang/Berat Gedung Kantor</t>
  </si>
  <si>
    <t>Pengelolaan, Pengawasan dan Pengendalian Asset SKPD</t>
  </si>
  <si>
    <t>03</t>
  </si>
  <si>
    <t>Program Peningkatan Disiplin Aparatur</t>
  </si>
  <si>
    <t>Meningkatnya disiplin dan etos kerja aparatur (%)</t>
  </si>
  <si>
    <t>Program Peningkatan Kapasitas Sumber Daya Aparatur</t>
  </si>
  <si>
    <t>Program Peningkatan Pengembangan Sistem Pelaporan Capaian Kinerja dan Keuangan</t>
  </si>
  <si>
    <t>Meningkatnya tertib administrasi keuangan (%)</t>
  </si>
  <si>
    <t>Penatausahaan Keuangan SKPD</t>
  </si>
  <si>
    <t>Alat tulis kantor sesuai kebutuhan yang tersedia (bulan)</t>
  </si>
  <si>
    <t>Komponen instalasi listrik/penerangan kantor yang tersedia secara optimal (bulan)</t>
  </si>
  <si>
    <t>Jumlah bahan bacaan untuk kantor yang tersedia (jenis)</t>
  </si>
  <si>
    <t>Jumlah peralatan dan perlengkapan kantor yang tersedia (unit)</t>
  </si>
  <si>
    <t>Makanan dan minuman rapat-rapat yang tersedia (bulan)</t>
  </si>
  <si>
    <t>Jasa pengamanan kantor yang tersedia (bulan)</t>
  </si>
  <si>
    <t>Jumlah meubelier kantor yang tersedia (unit)</t>
  </si>
  <si>
    <t>Jumlah gedung kantor yang terpelihara (unit)</t>
  </si>
  <si>
    <t>Jumlah kendaraan dinas/operasional yang terpelihara (unit)</t>
  </si>
  <si>
    <t>Pemeliharaan instalasi listrik, telepon dan air yang terlaksana (tahun)</t>
  </si>
  <si>
    <t>Jumlah peralatan dan perlengkapan kantor yang terpelihara (unit)</t>
  </si>
  <si>
    <t>Jumlah gedung kantor yang terehabilitasi (unit)</t>
  </si>
  <si>
    <t>Penyusunan Laporan Capaian Kinerja dan Ikhtiar Realisasi Kinerja SKPD</t>
  </si>
  <si>
    <t>Bahan dan perlengkapan untuk kebersihan kantor yang tersedia (tahun)</t>
  </si>
  <si>
    <t>Koordinasi Peningkatan Rehabilitasi dan Rekonstruksi Daerah Pasca Bencana</t>
  </si>
  <si>
    <t>Monitoring dan Evaluasi Pelaksanaan Rehabilitasi dan Rekonstruksi Daerah Pasca Bencana</t>
  </si>
  <si>
    <t>04</t>
  </si>
  <si>
    <t>Pusat, Prov. Sumbar</t>
  </si>
  <si>
    <t>Pemeliharaan Rutin/Berkala Peralatan dan Perlengkapan Kantor</t>
  </si>
  <si>
    <t>Mitigasi</t>
  </si>
  <si>
    <t>Kesiapsiagaan</t>
  </si>
  <si>
    <t>Tanggap Darurat</t>
  </si>
  <si>
    <t>Pemulihan</t>
  </si>
  <si>
    <t>Pemeliharaan Rutin/Berkala Komputer dan Jaringan Komputerisasi</t>
  </si>
  <si>
    <t>Penyusunan Perencanaan dan Penganggaran SKPD</t>
  </si>
  <si>
    <t>Jumlah komputer dan jaringan komputerisasi yang terpelihara (unit)</t>
  </si>
  <si>
    <t>Peningkatan Simulasi/Pelatihan Penanggulangan Bencana</t>
  </si>
  <si>
    <t>Indikator Kinerja Program (Outcome)/Kegiatan (Output)</t>
  </si>
  <si>
    <t>Pengkajian Kapasitas Pemulihan Pasca Bencana</t>
  </si>
  <si>
    <t>Rapat-rapat Koordinasi dan Konsultasi ke Luar dan Dalam Daerah</t>
  </si>
  <si>
    <t>Pengadaan Meubeleur</t>
  </si>
  <si>
    <t>Pengadaan Pakaian Dinas Beserta Kelengkapannya</t>
  </si>
  <si>
    <t>Pakaian dinas dan kelengkapannya yang tersedia (stel)</t>
  </si>
  <si>
    <t>Dana untuk jasa komunikasi telepon, air dan listrik yang tersedia (bulan)</t>
  </si>
  <si>
    <t>Barang cetakan dan penggandaan yang tersedia (tahun)</t>
  </si>
  <si>
    <t>Rapat-rapat koordinasi dan konsultasi ke dalam dan luar daerah yang terlaksana (tahun)</t>
  </si>
  <si>
    <t>Pengadaan Kendaraan Dinas/Operasional</t>
  </si>
  <si>
    <t>Jumlah peralatan komputer dan jaringan komputerisasi yang tersedia (unit)</t>
  </si>
  <si>
    <t>Jumlah peralatan studio, komunikasi dan informasi yang tersedia (unit)</t>
  </si>
  <si>
    <t>Jumlah alat studio, komunikasi dan informasi yang terpelihara (unit)</t>
  </si>
  <si>
    <t>Honorarium pengurus dan penyimpan barang yang tersedia (bulan)</t>
  </si>
  <si>
    <t>Bimbingan Teknis Implementasi Peraturan Perundang-undangan</t>
  </si>
  <si>
    <t>Tercapainya penerapan peraturan dan perundang-undangan di lingkungan kerja (%)</t>
  </si>
  <si>
    <t>Jumlah aparatur yang bertambah pengetahuannya tentang peraturan perundang-undangan (orang)</t>
  </si>
  <si>
    <t>Laporan capaian kinerja dan ikhtiar realisasi kinerja SKPD, laporan akhir tahun SKPD (laporan keuangan, laporan tahunan SKPD, LPPD, LKPj, LAKIP) yang tersusun (bulan, laporan)</t>
  </si>
  <si>
    <t>Honorarium pengelola keuangan dan asset, lembur penatausahaan keuangan, dll. yang tersedia (bulan)</t>
  </si>
  <si>
    <t>Perencanaan dan penganggaran SKPD (pra RKA, RKA, DPA, DPPA, ekspose Kepala Badan) yang terlaksana (tahun)</t>
  </si>
  <si>
    <t>12/5</t>
  </si>
  <si>
    <t>Penyediaan Jasa Informasi, Dokumentasi dan Publikasi</t>
  </si>
  <si>
    <t>Jasa informasi/publikasi yang tersedia (bulan)</t>
  </si>
  <si>
    <t>13.</t>
  </si>
  <si>
    <t>Jumlah kendaraan dinas/operasional lapangan yang tersedia (unit)</t>
  </si>
  <si>
    <t>Kebutuhan Dana/Pagu Indikatif (Rp.)</t>
  </si>
  <si>
    <t>Jumlah dokumen Rencana Aksi Daerah Pengurangan Risiko Bencana (RAD-PRB) Provinsi dan Kabupaten/Kota yang tersusun (laporan)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</si>
  <si>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</si>
  <si>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</si>
  <si>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</si>
  <si>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</si>
  <si>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</si>
  <si>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</si>
  <si>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</si>
  <si>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</si>
  <si>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</si>
  <si>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Badan Penanggulangan Bencana Daerah Provinsi Sumatera Barat</t>
  </si>
  <si>
    <t>1/10</t>
  </si>
  <si>
    <t>1/13</t>
  </si>
  <si>
    <t>Peningkatan Kapasitas Kelembagaan Pengurangan Resiko Bencana</t>
  </si>
  <si>
    <t>Jumlah peralatan studio, komunikasi dan informasi yang tersedia (paket)</t>
  </si>
  <si>
    <t>Perencanaan dan penganggaran SKPD (pra RKA, RKA, DPA, DPPA, ekspos Kepala Badan) yang terlaksana (tahun)</t>
  </si>
  <si>
    <t>Peningkatan Sarana dan Prasarana Rehabilitasi dan Rekonstruksi</t>
  </si>
  <si>
    <t>1/12</t>
  </si>
  <si>
    <t>1/16</t>
  </si>
  <si>
    <t>Pengadaan Peralatan Studio,Komunikasi danInformasi</t>
  </si>
  <si>
    <t>Perkiraan Maju Rencana Tahun 2017</t>
  </si>
  <si>
    <t>Peningkatan Rehabilitasi dan Rekonstruksi Daerah Pasca Bencana</t>
  </si>
  <si>
    <t>Peningkatan Penanganan Tanggap Darurat</t>
  </si>
  <si>
    <t>Data base kebencanaan (mitigasi, kesiapsiagaan, tanggap darurat, rehabilitasi dan rekonstruksi) yang tersedia (laporan)</t>
  </si>
  <si>
    <t>Penyusunan Data dan Informasi Kebencanaan</t>
  </si>
  <si>
    <t>Peningkatan Informasi dan Sosialisasi Kebencanaan</t>
  </si>
  <si>
    <t>Jumlah koordinasi, monitoring dan evaluasi pelaksanaan program penanggulangan bencana yang terlaksana (kali)</t>
  </si>
  <si>
    <t>Jumlah anggota Unsur Pengarah BPBD yang terfasilitasi (orang)</t>
  </si>
  <si>
    <t>Jumlah TRC provinsi/kabupaten/kota yang terbentuk dan terbina</t>
  </si>
  <si>
    <t>Jumlah Forum PRB provinsi/kabupaten/kota yang terbentuk dan terbina</t>
  </si>
  <si>
    <t>Jumlah Nagari/Desa/Kelurahan Tangguh kabupaten/kota yang terbentuk dan terbina</t>
  </si>
  <si>
    <t>Peningkatan Simulasi dan Pelatihan Kebencanaan</t>
  </si>
  <si>
    <t>Program Peningkatan Sarana dan Prasarana Kebencanaan</t>
  </si>
  <si>
    <t>Meningkatnya sarana dan prasarana kebencanaan (%)</t>
  </si>
  <si>
    <t>Jumlah peserta sosialisasi dan penyuluhan kebencanaan yang terlaksana (orang)</t>
  </si>
  <si>
    <t>Jumlah relawan kebencanaan provinsi/kabupaten/kota yang terbentuk dan terbina (orang)</t>
  </si>
  <si>
    <t>Jumlah petugas Pusdalops PB yang terfasilitasi (orang)</t>
  </si>
  <si>
    <t>Jumlah peserta simulasi dan pelatihan kebencanaan yang terlaksana (orang)</t>
  </si>
  <si>
    <t>Jumlah sarana dan prasarana pengurangan resiko bencana (TES dan jalur evakuasi) yang tersedia (paket)</t>
  </si>
  <si>
    <t>Jumlah sarana dan prasarana kesiapsiagaan bencana (sistem peringatan dini) yang tersedia (paket)</t>
  </si>
  <si>
    <t>Jumlah sarana dan prasarana tanggap darurat bencana (peralatan lapangan dan logistik kebencanaan stock opname) yang tersedia (paket)</t>
  </si>
  <si>
    <t>Jumlah sarana dan prasarana penunjang pelaksanaan rehabilitasi dan rekonstruksi pasca bencana yang tersedia (paket)</t>
  </si>
  <si>
    <t>Persentase koordinasi penanganan siaga darurat dan tanggap darurat bencana yang terlaksana (%)</t>
  </si>
  <si>
    <t>Persentase monitoring dan evaluasi pelaksanaan siaga darurat dan tanggap darurat yang terlaksana (%)</t>
  </si>
  <si>
    <t>Program Pemulihan Daerah Pasca Bencana</t>
  </si>
  <si>
    <t>Meningkatnya pemulihan daerah pasca bencana (%)</t>
  </si>
  <si>
    <t>Persentase pengkajian kebutuhan pasca bencana (JITU Pasna) yang terlaksana (%)</t>
  </si>
  <si>
    <t>Pengkajian Kebutuhan Pasca Bencana</t>
  </si>
  <si>
    <t>Persentase koordinasi pelaksanaan rehabilitasi dan rekonstruksi pasca bencana yang terlaksana (%)</t>
  </si>
  <si>
    <t>Persentase monitoring dan evaluasi pelaksanaan rehabilitasi dan rekonstruksi pasca bencana yang terlaksana (%)</t>
  </si>
  <si>
    <t>Target</t>
  </si>
  <si>
    <t>Realisasi</t>
  </si>
  <si>
    <t>Target Capaian Kinerja SKPD Tahun 2015</t>
  </si>
  <si>
    <t>Catatan</t>
  </si>
  <si>
    <t>10 = (5+7+9)</t>
  </si>
  <si>
    <t>11 = (10/4)</t>
  </si>
  <si>
    <t>Jasa informasi/publikasi yang tersedia (tahun)</t>
  </si>
  <si>
    <t>Jumlah mobil/motor operasional/lapangan yang tersedia (unit)</t>
  </si>
  <si>
    <t>60/25</t>
  </si>
  <si>
    <t>Jumlah dokumen perencanaan penanggulangan bencana (RPB, RAD-PRB, Renkon per-jenis bencana, SOP kebencanaan) yang tersedia (laporan)</t>
  </si>
  <si>
    <t>Pengadaan Peralatan Studio, Komunikasi dan Informasi</t>
  </si>
  <si>
    <t>Pemeliharaan Rutin/Berkala Peralatan Studio, Komunikasi dan Informasi</t>
  </si>
  <si>
    <t>Persentase Pengkajian Kebutuhan Pasca Bencana (JITU Pasna) yang terlaksana (%)</t>
  </si>
  <si>
    <t>Persentase monitoring dan evaluasi pelaksanaan penanganan siaga darurat dan tanggap darurat bencana yang terlaksana (%)</t>
  </si>
  <si>
    <t>Jumlah sarana dan prasarana tanggap darurat bencana (peralatan lapangan dan logistik kebencanaan) yang tersedia (paket)</t>
  </si>
  <si>
    <t>5/49</t>
  </si>
  <si>
    <t>5/38</t>
  </si>
  <si>
    <t>Jumlah dokumen Rencana Penanggulangan Bencana (RPB) Provinsi dan Kabupaten/Kota yang tersusun (laporan)</t>
  </si>
  <si>
    <t>Jumlah dokumen Rencana Kontinjensi (Renkon) per-jenis bencana yang tersusun (laporan)</t>
  </si>
  <si>
    <t>Jumlah TRC yang terbentuk dan terbina (prov./ kab./kota)</t>
  </si>
  <si>
    <t>Jumlah Forum Pengurangan Risiko Bencana (Forum PRB) yang terbentuk dan terbina (prov./kab./kota)</t>
  </si>
  <si>
    <t>Jumlah relawan kebencanaan yang terbentuk dan terbina (orang)</t>
  </si>
  <si>
    <t>Jumlah sarana dan prasarana pengurangan risiko bencana yang tersedia (paket)</t>
  </si>
  <si>
    <t>Jumlah kampanye, publikasi media, pameran, pembuatan baliho dan brosur yang terlaksana (paket)</t>
  </si>
  <si>
    <t>Jumlah peserta sosialisasi dan penyuluhan yang terlaksana (orang)</t>
  </si>
  <si>
    <r>
      <t xml:space="preserve">Jumlah </t>
    </r>
    <r>
      <rPr>
        <i/>
        <sz val="10"/>
        <color theme="1"/>
        <rFont val="Arial Narrow"/>
        <family val="2"/>
      </rPr>
      <t>data base</t>
    </r>
    <r>
      <rPr>
        <sz val="10"/>
        <color theme="1"/>
        <rFont val="Arial Narrow"/>
        <family val="2"/>
      </rPr>
      <t xml:space="preserve"> kebencanaan yang tersedia (laporan)</t>
    </r>
  </si>
  <si>
    <t>Jumlah sarana dan prasarana kesiapsiagaan bencana yang tersedia (paket)</t>
  </si>
  <si>
    <t>Jumlah nagari tangguh bencana yang terbentuk dan terbina (nagari)</t>
  </si>
  <si>
    <t>Jumlah dokumen Rencana Penanggulangan Bencana (RPB) yang tersusun (laporan)</t>
  </si>
  <si>
    <t>Jumlah dokumen Rencana Aksi Daerah Pengurangan Risiko Bencana (RAD-PRB) yang tersedia (laporan)</t>
  </si>
  <si>
    <t>Jumlah dokumen Rencana Kontinjensi (Renkon) per jenis bencana yang tersedia (laporan)</t>
  </si>
  <si>
    <r>
      <t xml:space="preserve">Jumlah </t>
    </r>
    <r>
      <rPr>
        <i/>
        <sz val="10"/>
        <color theme="1"/>
        <rFont val="Arial Narrow"/>
        <family val="2"/>
      </rPr>
      <t>data base</t>
    </r>
    <r>
      <rPr>
        <sz val="10"/>
        <color theme="1"/>
        <rFont val="Arial Narrow"/>
        <family val="2"/>
      </rPr>
      <t xml:space="preserve"> kebencanaan yang tersedia (paket)</t>
    </r>
  </si>
  <si>
    <t>Jumlah kampanye, publikasi media, pameran, baliho, brosur kebencanaan yang tersedia (paket)</t>
  </si>
  <si>
    <t>Jumlah koordinasi, monitoring dan evaluasi pelaksanaan program Penanggulangan Bencana yang terlaksana (paket)</t>
  </si>
  <si>
    <t>Jumlah Tim Reaksi Cepat (TRC) provinsi dan kabupaten/kota yang terbentuk dan terbina</t>
  </si>
  <si>
    <t>Jumlah Forum Pengurangan Risiko Bencana (Forum PRB) provinsi dan kabupaten/kota yang terbentuk dan terbina</t>
  </si>
  <si>
    <t>Jumlah nagari/desa/kelurahan tangguh bencana kabupaten/kota yang terbentuk dan terbina</t>
  </si>
  <si>
    <t>Jumlah relawan kebencanaan provinsi dan kabupaten/kota yang terbentuk dan terbina (orang)</t>
  </si>
  <si>
    <t>Persentase monitoring dan evaluasi penanganan siaga darurat dan tanggap darurat bencana yang terlaksana (%)</t>
  </si>
  <si>
    <t>Persentase koordinasi rehabilitasi dan rekonstruksi pasca bencana yang terlaksana (%)</t>
  </si>
  <si>
    <t>23.</t>
  </si>
  <si>
    <t>Peningkatan Kapasitas Relawan Penanggulangan Bencana</t>
  </si>
  <si>
    <t>APBD II (Rp.)</t>
  </si>
  <si>
    <t>APBD I (Rp.)</t>
  </si>
  <si>
    <t>APBN (Rp.)</t>
  </si>
  <si>
    <t>Sijunjung</t>
  </si>
  <si>
    <t xml:space="preserve"> Kebutuhan Dana/Pagu Indikatif (Rp.)</t>
  </si>
  <si>
    <t>Jumlah kampanye, publikasi media, pameran, pembuatan baliho dan brosur, serta sosialisasi kebencanaan yang terlaksana (kali/unit/lembar/kali)</t>
  </si>
  <si>
    <t>Pro. Sumbar</t>
  </si>
  <si>
    <t>Program Pencegahan Dini dan Penanggulangan Korban Bencana Alam</t>
  </si>
  <si>
    <t>Peningkatan dan Pengembangan Pusdalops Penanggulangan Bencana</t>
  </si>
  <si>
    <r>
      <rPr>
        <b/>
        <sz val="12"/>
        <color theme="1"/>
        <rFont val="Cambria"/>
        <family val="1"/>
      </rPr>
      <t>Tabel 2.1.</t>
    </r>
    <r>
      <rPr>
        <sz val="12"/>
        <color theme="1"/>
        <rFont val="Cambria"/>
        <family val="1"/>
      </rPr>
      <t xml:space="preserve"> Evaluasi hasil pelaksanaan Renja SKPD dan pencapaian Renstra SKPD s/d tahun 2015</t>
    </r>
  </si>
  <si>
    <t>Realisasi Target Kinerja Hasil Program dan Keluaran Kegiatan Tahun s/d 2014</t>
  </si>
  <si>
    <t>Target dan Realisasi Kinerja Program/Kegiatan SKPD Tahun 2015</t>
  </si>
  <si>
    <t>Target Program/ Kegiatan Renja SKPD Tahun 2016</t>
  </si>
  <si>
    <t>Perkiraan Realisasi Capaian Program/Kegiatan Tahun Berjalan (Tahun 2016)</t>
  </si>
  <si>
    <t>48/20</t>
  </si>
  <si>
    <t>4/33</t>
  </si>
  <si>
    <t>4/26</t>
  </si>
  <si>
    <t>Jumlah surat yang dikelola sebanyak (lembar/tahun)</t>
  </si>
  <si>
    <t>Jumlah peralatan dan perlengkapan kantor yang tersedia (unit/jenis)</t>
  </si>
  <si>
    <t>Jumlah komputer dan jaringan komputerisasi yang terpelihara (unit/kali)</t>
  </si>
  <si>
    <t>Jumlah aparatur yang bertambah pengetahuannya tentang peraturan perundang-undangan (orang/tahun)</t>
  </si>
  <si>
    <t>Jumlah data base kebencanaan (mitigasi, kesiapsiagaan, tanggap darurat, rehabilitasi dan rekonstruksi) yang tersedia (laporan)</t>
  </si>
  <si>
    <t>Jumlah kampanye, publikasi media, pameran, pembuatan baliho dan brosur, serta sosialisasi kebencanaan yang terlaksana (paket)</t>
  </si>
  <si>
    <t>Honorarium dan operasional anggota Unsur Pengarah BPBD yang tersedia (orang)</t>
  </si>
  <si>
    <t>Jumlah Forum Pengurangan Risiko Bencana (Forum PRB) provinsi/kabupaten/kota yang terbentuk dan terbina</t>
  </si>
  <si>
    <t>Peningkatan dan Pengembangan Pusdalops PB</t>
  </si>
  <si>
    <t>Honorarium dan operasional petugas Pusdalops PB yang tersedia (orang)</t>
  </si>
  <si>
    <t>Program Penanganan Tanggap Darurat Bencana</t>
  </si>
  <si>
    <t>Meningkatnya penanganan tanggap darurat bencana (%)</t>
  </si>
  <si>
    <t>300.000/1</t>
  </si>
  <si>
    <t>Tahun 2014 (thn n-2)</t>
  </si>
  <si>
    <t>Tahun 2015 (thn n-1)</t>
  </si>
  <si>
    <t>Tahun 2016 (thn n)</t>
  </si>
  <si>
    <t>Tahun 2017 (thn n+1)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</si>
  <si>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</si>
  <si>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</si>
  <si>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</si>
  <si>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</si>
  <si>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</si>
  <si>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</si>
  <si>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</si>
  <si>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</si>
  <si>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</si>
  <si>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</si>
  <si>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</si>
  <si>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</si>
  <si>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</si>
  <si>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</si>
  <si>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</si>
  <si>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</si>
  <si>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</si>
  <si>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</si>
  <si>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</si>
  <si>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</si>
  <si>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SKPD penanggung jawab: Dinas Prasjal Tarkim</t>
  </si>
  <si>
    <t>Berdasarkan wilayah/ daerah pasca bencana yang dipulihkan</t>
  </si>
  <si>
    <r>
      <rPr>
        <b/>
        <sz val="12"/>
        <rFont val="Cambria"/>
        <family val="1"/>
      </rPr>
      <t>Tabel 3.1.</t>
    </r>
    <r>
      <rPr>
        <sz val="12"/>
        <rFont val="Cambria"/>
        <family val="1"/>
      </rPr>
      <t xml:space="preserve"> Rencana program dan kegiatan SKPD tahun 2017 dan perkiraan maju tahun 2018</t>
    </r>
  </si>
  <si>
    <t>Rencana Tahun 2017</t>
  </si>
  <si>
    <t>Perkiraan Maju                                         Rencana Tahun 2018</t>
  </si>
  <si>
    <t>xx</t>
  </si>
  <si>
    <t>Berdasarkan Rancangan RPJMD 2016-2021 dan Rancangan Renstra BPBD 2016-2021</t>
  </si>
  <si>
    <t>Jumlah sarana dan prasarana rehabilitasi dan rekonstruksi pasca bencana yang tersedia (paket)</t>
  </si>
  <si>
    <t>Honorarium pengelola keuangan, honorarium pengelola SIPKD, dll. yang tersedia (bulan)</t>
  </si>
  <si>
    <t>Jumlah koordinasi penanganan tanggap darurat bencana yang terlaksana (provinsi dan kabupaten/kota)</t>
  </si>
  <si>
    <t>Jumlah monitoring dan evaluasi pelaksanaan penanganan tanggap darurat yang terlaksana (provinsi dan kabupaten/kota)</t>
  </si>
  <si>
    <t>Meningkatnya pelayanan administrasi perkantoran (%)</t>
  </si>
  <si>
    <t>Berfungsinya sarana dan prasarana aparatur (%)</t>
  </si>
  <si>
    <t>Meningkatnya disiplin aparatur dalam berpakaian dinas (%)</t>
  </si>
  <si>
    <t>Terpenuhinya peningkatan sumber daya aparatur (%)</t>
  </si>
  <si>
    <t>Meningkatnya capaian kinerja keuangan dan sistem pelaporan SKPD (%)</t>
  </si>
  <si>
    <t>Jumlah kampanye, publikasi media, pameran, pembuatan baliho dan brosur, serta sosialisasi kebencanaan yang terlaksana (unit/lembar/kali/orang)</t>
  </si>
  <si>
    <t>Jumlah koordinasi, monitoring dan evaluasi pelaksanaan program penanggulangan bencana yang terlaksana (provinsi dan kabupaten/kota)</t>
  </si>
  <si>
    <t>3.000/5/250</t>
  </si>
  <si>
    <t>Jumlah sarana dan prasarana mitigasi bencana (DED TES/jalur evakuasi) yang tersedia (paket)</t>
  </si>
  <si>
    <t>Kode Rekening</t>
  </si>
  <si>
    <t>Urusan/SKPD dan Program/Kegiatan</t>
  </si>
  <si>
    <t>Urusan Wajib Kesatuan Bangsa dan Politik</t>
  </si>
  <si>
    <t>BPBD</t>
  </si>
  <si>
    <t>00</t>
  </si>
  <si>
    <t>Penyediaan Jasa Kebersihan, Pengamanan dan Sopir Kantor</t>
  </si>
  <si>
    <t>Bahan dan perlengkapan untuk kebersihan, pengamanan dan sopir kantor yang tersedia (bulan)</t>
  </si>
  <si>
    <t>Penyediaan Jasa Pembinaan Mental dan Fisik Aparatur</t>
  </si>
  <si>
    <t>Jasa pembinaan mental dan fisik aparatur yang tersedia (bulan)</t>
  </si>
  <si>
    <t>Pemeliharaan Rutin/Berkala Alat Studio, Alat Komunikasi dan Alat Informasi</t>
  </si>
  <si>
    <t>1.000/1/100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</si>
</sst>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43" formatCode="_(* #,##0.00_);_(* \(#,##0.00\);_(* &quot;-&quot;??_);_(@_)"/>
  </numFmts>
  <fonts count="19">
    <font>
      <sz val="11"/>
      <color theme="1"/>
      <name val="Calibri"/>
      <family val="2"/>
      <charset val="1"/>
      <scheme val="minor"/>
    </font>
    <font>
      <sz val="12"/>
      <color theme="1"/>
      <name val="Cambria"/>
      <family val="1"/>
    </font>
    <font>
      <b/>
      <sz val="12"/>
      <color theme="1"/>
      <name val="Cambria"/>
      <family val="1"/>
    </font>
    <font>
      <sz val="11"/>
      <color theme="1"/>
      <name val="Calibri"/>
      <family val="2"/>
      <charset val="1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i/>
      <sz val="10"/>
      <color theme="1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Times New Roman"/>
      <family val="1"/>
    </font>
    <font>
      <sz val="10"/>
      <name val="Arial Narrow"/>
      <family val="2"/>
    </font>
    <font>
      <sz val="12"/>
      <name val="Cambria"/>
      <family val="1"/>
    </font>
    <font>
      <b/>
      <sz val="12"/>
      <name val="Cambria"/>
      <family val="1"/>
    </font>
    <font>
      <b/>
      <sz val="10"/>
      <name val="Arial Narrow"/>
      <family val="2"/>
    </font>
    <font>
      <b/>
      <i/>
      <sz val="10"/>
      <name val="Arial Narrow"/>
      <family val="2"/>
    </font>
    <font>
      <i/>
      <sz val="1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6">
    <xf numFmtId="0" fontId="0" fillId="0" borderId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11" fillId="0" borderId="0" applyFill="0" applyBorder="0" applyAlignment="0" applyProtection="0"/>
    <xf numFmtId="0" fontId="11" fillId="0" borderId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1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11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1" fillId="0" borderId="0" applyFill="0" applyBorder="0" applyAlignment="0" applyProtection="0"/>
    <xf numFmtId="0" fontId="8" fillId="0" borderId="0"/>
    <xf numFmtId="0" fontId="8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12" fillId="0" borderId="0"/>
    <xf numFmtId="0" fontId="12" fillId="0" borderId="0"/>
    <xf numFmtId="0" fontId="12" fillId="0" borderId="0"/>
    <xf numFmtId="0" fontId="10" fillId="0" borderId="0"/>
    <xf numFmtId="0" fontId="3" fillId="0" borderId="0"/>
    <xf numFmtId="0" fontId="8" fillId="0" borderId="0"/>
  </cellStyleXfs>
  <cellXfs count="178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0" xfId="0" applyFont="1" applyFill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/>
    <xf numFmtId="0" fontId="4" fillId="0" borderId="0" xfId="0" applyFont="1" applyAlignment="1"/>
    <xf numFmtId="0" fontId="4" fillId="0" borderId="0" xfId="0" applyFont="1"/>
    <xf numFmtId="0" fontId="7" fillId="0" borderId="0" xfId="0" applyFont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41" fontId="4" fillId="0" borderId="1" xfId="1" applyFont="1" applyBorder="1" applyAlignment="1">
      <alignment vertical="top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41" fontId="5" fillId="0" borderId="1" xfId="1" applyFont="1" applyBorder="1" applyAlignment="1">
      <alignment vertical="top"/>
    </xf>
    <xf numFmtId="0" fontId="5" fillId="0" borderId="0" xfId="0" applyFont="1" applyAlignment="1">
      <alignment vertical="top"/>
    </xf>
    <xf numFmtId="0" fontId="5" fillId="0" borderId="1" xfId="0" quotePrefix="1" applyFont="1" applyBorder="1" applyAlignment="1">
      <alignment horizontal="center" vertical="top" wrapText="1"/>
    </xf>
    <xf numFmtId="0" fontId="5" fillId="0" borderId="0" xfId="0" applyFont="1"/>
    <xf numFmtId="0" fontId="4" fillId="0" borderId="1" xfId="0" quotePrefix="1" applyFont="1" applyBorder="1" applyAlignment="1">
      <alignment horizontal="center" vertical="top" wrapText="1"/>
    </xf>
    <xf numFmtId="41" fontId="4" fillId="0" borderId="1" xfId="1" quotePrefix="1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0" fontId="5" fillId="0" borderId="1" xfId="0" quotePrefix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quotePrefix="1" applyFont="1" applyBorder="1" applyAlignment="1">
      <alignment horizontal="center" vertical="top"/>
    </xf>
    <xf numFmtId="0" fontId="4" fillId="0" borderId="1" xfId="0" quotePrefix="1" applyFont="1" applyFill="1" applyBorder="1" applyAlignment="1">
      <alignment horizontal="center" vertical="top"/>
    </xf>
    <xf numFmtId="0" fontId="4" fillId="0" borderId="1" xfId="0" applyFont="1" applyFill="1" applyBorder="1" applyAlignment="1">
      <alignment vertical="top" wrapText="1"/>
    </xf>
    <xf numFmtId="41" fontId="4" fillId="0" borderId="1" xfId="1" applyFont="1" applyFill="1" applyBorder="1" applyAlignment="1">
      <alignment vertical="top"/>
    </xf>
    <xf numFmtId="0" fontId="4" fillId="0" borderId="0" xfId="0" applyFont="1" applyFill="1"/>
    <xf numFmtId="0" fontId="4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0" fontId="5" fillId="0" borderId="1" xfId="0" quotePrefix="1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 wrapText="1"/>
    </xf>
    <xf numFmtId="41" fontId="5" fillId="0" borderId="1" xfId="1" applyFont="1" applyFill="1" applyBorder="1" applyAlignment="1">
      <alignment vertical="top"/>
    </xf>
    <xf numFmtId="0" fontId="5" fillId="0" borderId="0" xfId="0" applyFont="1" applyFill="1"/>
    <xf numFmtId="0" fontId="4" fillId="0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0" xfId="0" applyFont="1" applyFill="1" applyAlignment="1">
      <alignment vertical="top" wrapText="1"/>
    </xf>
    <xf numFmtId="0" fontId="4" fillId="0" borderId="1" xfId="0" quotePrefix="1" applyFont="1" applyFill="1" applyBorder="1" applyAlignment="1">
      <alignment horizontal="right" vertical="top" wrapText="1"/>
    </xf>
    <xf numFmtId="0" fontId="4" fillId="0" borderId="0" xfId="0" applyFont="1" applyFill="1" applyAlignment="1">
      <alignment horizontal="center"/>
    </xf>
    <xf numFmtId="13" fontId="4" fillId="0" borderId="1" xfId="1" quotePrefix="1" applyNumberFormat="1" applyFont="1" applyFill="1" applyBorder="1" applyAlignment="1">
      <alignment horizontal="right" vertical="top"/>
    </xf>
    <xf numFmtId="41" fontId="4" fillId="0" borderId="1" xfId="1" quotePrefix="1" applyFont="1" applyFill="1" applyBorder="1" applyAlignment="1">
      <alignment horizontal="right" vertical="top"/>
    </xf>
    <xf numFmtId="0" fontId="4" fillId="0" borderId="2" xfId="0" applyFont="1" applyFill="1" applyBorder="1" applyAlignment="1">
      <alignment horizontal="center" vertical="top"/>
    </xf>
    <xf numFmtId="0" fontId="4" fillId="0" borderId="2" xfId="0" quotePrefix="1" applyFont="1" applyFill="1" applyBorder="1" applyAlignment="1">
      <alignment horizontal="center" vertical="top"/>
    </xf>
    <xf numFmtId="0" fontId="4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center" vertical="top"/>
    </xf>
    <xf numFmtId="0" fontId="4" fillId="0" borderId="3" xfId="0" quotePrefix="1" applyFont="1" applyFill="1" applyBorder="1" applyAlignment="1">
      <alignment horizontal="center" vertical="top"/>
    </xf>
    <xf numFmtId="0" fontId="4" fillId="0" borderId="3" xfId="0" applyFont="1" applyFill="1" applyBorder="1" applyAlignment="1">
      <alignment vertical="top" wrapText="1"/>
    </xf>
    <xf numFmtId="0" fontId="4" fillId="0" borderId="2" xfId="0" applyFont="1" applyBorder="1" applyAlignment="1">
      <alignment horizontal="center" vertical="top"/>
    </xf>
    <xf numFmtId="0" fontId="4" fillId="0" borderId="2" xfId="0" quotePrefix="1" applyFont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/>
    </xf>
    <xf numFmtId="0" fontId="4" fillId="0" borderId="4" xfId="0" quotePrefix="1" applyFont="1" applyFill="1" applyBorder="1" applyAlignment="1">
      <alignment horizontal="center" vertical="top"/>
    </xf>
    <xf numFmtId="0" fontId="4" fillId="0" borderId="4" xfId="0" applyFont="1" applyFill="1" applyBorder="1" applyAlignment="1">
      <alignment vertical="top" wrapText="1"/>
    </xf>
    <xf numFmtId="0" fontId="4" fillId="0" borderId="0" xfId="0" applyFont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41" fontId="13" fillId="0" borderId="1" xfId="1" applyFont="1" applyBorder="1" applyAlignment="1">
      <alignment vertical="top"/>
    </xf>
    <xf numFmtId="41" fontId="13" fillId="0" borderId="1" xfId="1" quotePrefix="1" applyFont="1" applyFill="1" applyBorder="1" applyAlignment="1">
      <alignment horizontal="right" vertical="top"/>
    </xf>
    <xf numFmtId="41" fontId="13" fillId="0" borderId="1" xfId="1" applyFont="1" applyFill="1" applyBorder="1" applyAlignment="1">
      <alignment vertical="top"/>
    </xf>
    <xf numFmtId="0" fontId="13" fillId="0" borderId="2" xfId="0" applyFont="1" applyFill="1" applyBorder="1" applyAlignment="1">
      <alignment horizontal="center" vertical="top"/>
    </xf>
    <xf numFmtId="0" fontId="13" fillId="0" borderId="2" xfId="0" quotePrefix="1" applyFont="1" applyFill="1" applyBorder="1" applyAlignment="1">
      <alignment horizontal="center" vertical="top"/>
    </xf>
    <xf numFmtId="0" fontId="13" fillId="0" borderId="2" xfId="0" applyFont="1" applyFill="1" applyBorder="1" applyAlignment="1">
      <alignment vertical="top" wrapText="1"/>
    </xf>
    <xf numFmtId="0" fontId="13" fillId="0" borderId="1" xfId="0" applyFont="1" applyFill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41" fontId="13" fillId="0" borderId="1" xfId="1" applyFont="1" applyBorder="1" applyAlignment="1">
      <alignment horizontal="right" vertical="top" wrapText="1"/>
    </xf>
    <xf numFmtId="41" fontId="13" fillId="0" borderId="1" xfId="1" applyFont="1" applyBorder="1" applyAlignment="1">
      <alignment horizontal="center" vertical="top" wrapText="1"/>
    </xf>
    <xf numFmtId="0" fontId="13" fillId="0" borderId="0" xfId="0" applyFont="1" applyAlignment="1">
      <alignment vertical="top"/>
    </xf>
    <xf numFmtId="41" fontId="13" fillId="0" borderId="3" xfId="1" applyFont="1" applyBorder="1" applyAlignment="1">
      <alignment horizontal="right" vertical="top" wrapText="1"/>
    </xf>
    <xf numFmtId="0" fontId="14" fillId="0" borderId="0" xfId="0" applyFont="1" applyAlignment="1"/>
    <xf numFmtId="0" fontId="14" fillId="0" borderId="0" xfId="0" applyFont="1"/>
    <xf numFmtId="0" fontId="14" fillId="0" borderId="0" xfId="0" applyFont="1" applyAlignment="1">
      <alignment horizontal="center"/>
    </xf>
    <xf numFmtId="0" fontId="13" fillId="0" borderId="0" xfId="0" applyFont="1" applyAlignment="1"/>
    <xf numFmtId="0" fontId="13" fillId="0" borderId="0" xfId="0" applyFont="1"/>
    <xf numFmtId="0" fontId="13" fillId="0" borderId="0" xfId="0" applyFont="1" applyAlignment="1">
      <alignment horizontal="center"/>
    </xf>
    <xf numFmtId="0" fontId="15" fillId="0" borderId="0" xfId="0" applyFont="1" applyAlignment="1"/>
    <xf numFmtId="0" fontId="18" fillId="0" borderId="0" xfId="0" applyFont="1"/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vertical="top" wrapText="1"/>
    </xf>
    <xf numFmtId="41" fontId="16" fillId="0" borderId="1" xfId="1" applyFont="1" applyBorder="1" applyAlignment="1">
      <alignment horizontal="center" vertical="top" wrapText="1"/>
    </xf>
    <xf numFmtId="0" fontId="16" fillId="0" borderId="0" xfId="0" applyFont="1" applyAlignment="1">
      <alignment vertical="top"/>
    </xf>
    <xf numFmtId="0" fontId="16" fillId="0" borderId="1" xfId="0" quotePrefix="1" applyFont="1" applyBorder="1" applyAlignment="1">
      <alignment horizontal="center" vertical="top" wrapText="1"/>
    </xf>
    <xf numFmtId="41" fontId="16" fillId="0" borderId="1" xfId="1" applyFont="1" applyBorder="1" applyAlignment="1">
      <alignment horizontal="right" vertical="top" wrapText="1"/>
    </xf>
    <xf numFmtId="0" fontId="13" fillId="0" borderId="1" xfId="0" quotePrefix="1" applyFont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top"/>
    </xf>
    <xf numFmtId="0" fontId="16" fillId="0" borderId="1" xfId="0" quotePrefix="1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/>
    </xf>
    <xf numFmtId="0" fontId="13" fillId="0" borderId="1" xfId="0" quotePrefix="1" applyFont="1" applyBorder="1" applyAlignment="1">
      <alignment horizontal="center" vertical="top"/>
    </xf>
    <xf numFmtId="0" fontId="13" fillId="0" borderId="1" xfId="0" quotePrefix="1" applyFont="1" applyFill="1" applyBorder="1" applyAlignment="1">
      <alignment horizontal="center" vertical="top"/>
    </xf>
    <xf numFmtId="0" fontId="13" fillId="0" borderId="1" xfId="0" applyFont="1" applyFill="1" applyBorder="1" applyAlignment="1">
      <alignment horizontal="center" vertical="top"/>
    </xf>
    <xf numFmtId="0" fontId="13" fillId="0" borderId="2" xfId="0" quotePrefix="1" applyFont="1" applyBorder="1" applyAlignment="1">
      <alignment horizontal="center" vertical="top"/>
    </xf>
    <xf numFmtId="0" fontId="13" fillId="0" borderId="3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center" vertical="top"/>
    </xf>
    <xf numFmtId="0" fontId="16" fillId="0" borderId="1" xfId="0" quotePrefix="1" applyFont="1" applyFill="1" applyBorder="1" applyAlignment="1">
      <alignment horizontal="center" vertical="top"/>
    </xf>
    <xf numFmtId="0" fontId="16" fillId="0" borderId="1" xfId="0" applyFont="1" applyFill="1" applyBorder="1" applyAlignment="1">
      <alignment vertical="top" wrapText="1"/>
    </xf>
    <xf numFmtId="41" fontId="16" fillId="2" borderId="1" xfId="1" applyFont="1" applyFill="1" applyBorder="1" applyAlignment="1">
      <alignment horizontal="center"/>
    </xf>
    <xf numFmtId="0" fontId="16" fillId="0" borderId="0" xfId="0" applyFont="1"/>
    <xf numFmtId="0" fontId="5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41" fontId="13" fillId="0" borderId="1" xfId="1" applyFont="1" applyFill="1" applyBorder="1" applyAlignment="1">
      <alignment horizontal="right" vertical="top" wrapText="1"/>
    </xf>
    <xf numFmtId="0" fontId="13" fillId="0" borderId="0" xfId="0" applyFont="1" applyFill="1"/>
    <xf numFmtId="0" fontId="14" fillId="0" borderId="0" xfId="0" applyFont="1" applyFill="1"/>
    <xf numFmtId="0" fontId="17" fillId="2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/>
    </xf>
    <xf numFmtId="0" fontId="13" fillId="0" borderId="0" xfId="0" applyFont="1" applyAlignment="1">
      <alignment horizontal="right"/>
    </xf>
    <xf numFmtId="0" fontId="16" fillId="3" borderId="6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/>
    </xf>
    <xf numFmtId="0" fontId="17" fillId="2" borderId="11" xfId="0" applyFont="1" applyFill="1" applyBorder="1" applyAlignment="1">
      <alignment horizontal="center"/>
    </xf>
    <xf numFmtId="0" fontId="17" fillId="2" borderId="6" xfId="0" applyFont="1" applyFill="1" applyBorder="1" applyAlignment="1">
      <alignment horizontal="center"/>
    </xf>
    <xf numFmtId="41" fontId="16" fillId="0" borderId="5" xfId="1" applyFont="1" applyBorder="1" applyAlignment="1">
      <alignment horizontal="center" vertical="top" wrapText="1"/>
    </xf>
    <xf numFmtId="41" fontId="16" fillId="0" borderId="11" xfId="1" applyFont="1" applyBorder="1" applyAlignment="1">
      <alignment horizontal="center" vertical="top" wrapText="1"/>
    </xf>
    <xf numFmtId="41" fontId="16" fillId="0" borderId="6" xfId="1" applyFont="1" applyBorder="1" applyAlignment="1">
      <alignment horizontal="right" vertical="top" wrapText="1"/>
    </xf>
    <xf numFmtId="41" fontId="16" fillId="0" borderId="1" xfId="1" applyFont="1" applyBorder="1" applyAlignment="1">
      <alignment horizontal="center" vertical="top"/>
    </xf>
    <xf numFmtId="41" fontId="13" fillId="0" borderId="1" xfId="1" applyFont="1" applyBorder="1" applyAlignment="1">
      <alignment horizontal="center" vertical="top"/>
    </xf>
    <xf numFmtId="41" fontId="13" fillId="0" borderId="5" xfId="1" applyFont="1" applyBorder="1" applyAlignment="1">
      <alignment horizontal="center" vertical="top" wrapText="1"/>
    </xf>
    <xf numFmtId="41" fontId="13" fillId="0" borderId="6" xfId="1" applyFont="1" applyBorder="1" applyAlignment="1">
      <alignment horizontal="right" vertical="top" wrapText="1"/>
    </xf>
    <xf numFmtId="41" fontId="13" fillId="0" borderId="11" xfId="1" applyFont="1" applyBorder="1" applyAlignment="1">
      <alignment horizontal="center" vertical="top" wrapText="1"/>
    </xf>
    <xf numFmtId="41" fontId="13" fillId="0" borderId="1" xfId="1" quotePrefix="1" applyFont="1" applyBorder="1" applyAlignment="1">
      <alignment horizontal="center" vertical="top"/>
    </xf>
    <xf numFmtId="41" fontId="13" fillId="0" borderId="1" xfId="1" applyFont="1" applyFill="1" applyBorder="1" applyAlignment="1">
      <alignment horizontal="center" vertical="top" wrapText="1"/>
    </xf>
    <xf numFmtId="41" fontId="13" fillId="0" borderId="0" xfId="0" applyNumberFormat="1" applyFont="1" applyAlignment="1">
      <alignment vertical="top"/>
    </xf>
    <xf numFmtId="41" fontId="13" fillId="0" borderId="1" xfId="1" quotePrefix="1" applyFont="1" applyFill="1" applyBorder="1" applyAlignment="1">
      <alignment horizontal="center" vertical="top" wrapText="1"/>
    </xf>
    <xf numFmtId="41" fontId="4" fillId="0" borderId="11" xfId="1" applyFont="1" applyBorder="1" applyAlignment="1">
      <alignment horizontal="center" vertical="top" wrapText="1"/>
    </xf>
    <xf numFmtId="0" fontId="13" fillId="0" borderId="4" xfId="0" quotePrefix="1" applyFont="1" applyFill="1" applyBorder="1" applyAlignment="1">
      <alignment horizontal="center" vertical="top"/>
    </xf>
    <xf numFmtId="0" fontId="13" fillId="0" borderId="3" xfId="0" applyFont="1" applyBorder="1" applyAlignment="1">
      <alignment horizontal="center" vertical="top" wrapText="1"/>
    </xf>
    <xf numFmtId="41" fontId="13" fillId="0" borderId="3" xfId="1" quotePrefix="1" applyFont="1" applyFill="1" applyBorder="1" applyAlignment="1">
      <alignment horizontal="center" vertical="top" wrapText="1"/>
    </xf>
    <xf numFmtId="41" fontId="13" fillId="0" borderId="3" xfId="1" applyFont="1" applyBorder="1" applyAlignment="1">
      <alignment horizontal="center" vertical="top" wrapText="1"/>
    </xf>
    <xf numFmtId="41" fontId="13" fillId="0" borderId="10" xfId="1" applyFont="1" applyBorder="1" applyAlignment="1">
      <alignment horizontal="center" vertical="top" wrapText="1"/>
    </xf>
    <xf numFmtId="41" fontId="16" fillId="2" borderId="12" xfId="1" applyFont="1" applyFill="1" applyBorder="1" applyAlignment="1">
      <alignment horizontal="right"/>
    </xf>
    <xf numFmtId="41" fontId="16" fillId="2" borderId="14" xfId="1" applyFont="1" applyFill="1" applyBorder="1" applyAlignment="1">
      <alignment horizontal="right"/>
    </xf>
    <xf numFmtId="41" fontId="16" fillId="2" borderId="13" xfId="1" applyFont="1" applyFill="1" applyBorder="1" applyAlignment="1">
      <alignment horizontal="center"/>
    </xf>
    <xf numFmtId="0" fontId="13" fillId="0" borderId="0" xfId="0" applyFont="1" applyAlignment="1">
      <alignment horizontal="center" wrapText="1"/>
    </xf>
    <xf numFmtId="0" fontId="13" fillId="0" borderId="2" xfId="0" applyFont="1" applyBorder="1" applyAlignment="1">
      <alignment horizontal="center" vertical="top"/>
    </xf>
    <xf numFmtId="0" fontId="13" fillId="0" borderId="4" xfId="0" applyFont="1" applyFill="1" applyBorder="1" applyAlignment="1">
      <alignment horizontal="center" vertical="top"/>
    </xf>
    <xf numFmtId="0" fontId="16" fillId="2" borderId="3" xfId="0" applyFont="1" applyFill="1" applyBorder="1" applyAlignment="1">
      <alignment wrapText="1"/>
    </xf>
    <xf numFmtId="0" fontId="16" fillId="2" borderId="1" xfId="0" applyFont="1" applyFill="1" applyBorder="1" applyAlignment="1">
      <alignment horizontal="center" wrapText="1"/>
    </xf>
    <xf numFmtId="41" fontId="16" fillId="2" borderId="1" xfId="1" applyFont="1" applyFill="1" applyBorder="1" applyAlignment="1">
      <alignment horizontal="center" wrapText="1"/>
    </xf>
    <xf numFmtId="41" fontId="16" fillId="2" borderId="1" xfId="1" applyFont="1" applyFill="1" applyBorder="1" applyAlignment="1">
      <alignment horizontal="right"/>
    </xf>
    <xf numFmtId="41" fontId="16" fillId="2" borderId="5" xfId="1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0" fontId="16" fillId="2" borderId="1" xfId="0" applyFont="1" applyFill="1" applyBorder="1"/>
    <xf numFmtId="0" fontId="16" fillId="2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4" fillId="0" borderId="1" xfId="0" applyFont="1" applyBorder="1"/>
    <xf numFmtId="41" fontId="4" fillId="0" borderId="1" xfId="1" applyFont="1" applyBorder="1" applyAlignment="1">
      <alignment vertical="top" wrapText="1"/>
    </xf>
    <xf numFmtId="41" fontId="13" fillId="0" borderId="1" xfId="1" quotePrefix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vertical="top"/>
    </xf>
    <xf numFmtId="0" fontId="4" fillId="0" borderId="0" xfId="0" applyFont="1" applyFill="1" applyAlignment="1">
      <alignment vertical="top"/>
    </xf>
    <xf numFmtId="41" fontId="4" fillId="0" borderId="1" xfId="1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right" vertical="top" wrapText="1"/>
    </xf>
    <xf numFmtId="41" fontId="13" fillId="2" borderId="1" xfId="1" applyFont="1" applyFill="1" applyBorder="1" applyAlignment="1">
      <alignment horizontal="right" vertical="top" wrapText="1"/>
    </xf>
    <xf numFmtId="0" fontId="4" fillId="2" borderId="1" xfId="0" applyFont="1" applyFill="1" applyBorder="1" applyAlignment="1">
      <alignment vertical="top" wrapText="1"/>
    </xf>
    <xf numFmtId="0" fontId="17" fillId="2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/>
    </xf>
    <xf numFmtId="0" fontId="17" fillId="2" borderId="20" xfId="0" applyFont="1" applyFill="1" applyBorder="1" applyAlignment="1">
      <alignment horizontal="center"/>
    </xf>
    <xf numFmtId="0" fontId="17" fillId="2" borderId="6" xfId="0" applyFont="1" applyFill="1" applyBorder="1" applyAlignment="1">
      <alignment horizontal="center"/>
    </xf>
    <xf numFmtId="0" fontId="16" fillId="3" borderId="15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center" vertical="center" wrapText="1"/>
    </xf>
    <xf numFmtId="0" fontId="16" fillId="3" borderId="16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16" fillId="3" borderId="9" xfId="0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3" borderId="17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16" fillId="3" borderId="19" xfId="0" applyFont="1" applyFill="1" applyBorder="1" applyAlignment="1">
      <alignment horizontal="center" vertical="center" wrapText="1"/>
    </xf>
  </cellXfs>
  <cellStyles count="36">
    <cellStyle name="Comma [0]" xfId="1" builtinId="6"/>
    <cellStyle name="Comma [0] 2" xfId="4"/>
    <cellStyle name="Comma [0] 2 2" xfId="5"/>
    <cellStyle name="Comma [0] 2 3" xfId="6"/>
    <cellStyle name="Comma [0] 2 4" xfId="7"/>
    <cellStyle name="Comma [0] 3" xfId="8"/>
    <cellStyle name="Comma [0] 3 2" xfId="9"/>
    <cellStyle name="Comma [0] 3 2 2" xfId="3"/>
    <cellStyle name="Comma [0] 3 3" xfId="2"/>
    <cellStyle name="Comma [0] 4" xfId="10"/>
    <cellStyle name="Comma [0] 4 2" xfId="11"/>
    <cellStyle name="Comma [0] 5" xfId="12"/>
    <cellStyle name="Comma [0] 5 2" xfId="13"/>
    <cellStyle name="Comma [0] 6" xfId="14"/>
    <cellStyle name="Comma 2" xfId="15"/>
    <cellStyle name="Comma 2 2" xfId="16"/>
    <cellStyle name="Comma 3" xfId="17"/>
    <cellStyle name="Comma 4" xfId="18"/>
    <cellStyle name="Comma 4 2" xfId="19"/>
    <cellStyle name="Comma 5" xfId="20"/>
    <cellStyle name="Comma 5 2" xfId="21"/>
    <cellStyle name="Comma 6" xfId="22"/>
    <cellStyle name="Excel Built-in Comma [0]" xfId="23"/>
    <cellStyle name="Normal" xfId="0" builtinId="0"/>
    <cellStyle name="Normal 2" xfId="24"/>
    <cellStyle name="Normal 2 2" xfId="25"/>
    <cellStyle name="Normal 3" xfId="26"/>
    <cellStyle name="Normal 3 2" xfId="27"/>
    <cellStyle name="Normal 4" xfId="28"/>
    <cellStyle name="Normal 4 2" xfId="29"/>
    <cellStyle name="Normal 5" xfId="30"/>
    <cellStyle name="Normal 6" xfId="31"/>
    <cellStyle name="Normal 6 2" xfId="32"/>
    <cellStyle name="Normal 7" xfId="33"/>
    <cellStyle name="Normal 7 2" xfId="34"/>
    <cellStyle name="Normal 8" xfId="3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71</xdr:row>
      <xdr:rowOff>0</xdr:rowOff>
    </xdr:from>
    <xdr:to>
      <xdr:col>7</xdr:col>
      <xdr:colOff>749300</xdr:colOff>
      <xdr:row>71</xdr:row>
      <xdr:rowOff>88911</xdr:rowOff>
    </xdr:to>
    <xdr:sp macro="" textlink="">
      <xdr:nvSpPr>
        <xdr:cNvPr id="3" name="TextBox 2"/>
        <xdr:cNvSpPr txBox="1"/>
      </xdr:nvSpPr>
      <xdr:spPr>
        <a:xfrm>
          <a:off x="904875" y="34836111"/>
          <a:ext cx="2797175" cy="1743075"/>
        </a:xfrm>
        <a:prstGeom prst="rect">
          <a:avLst/>
        </a:prstGeom>
        <a:solidFill>
          <a:schemeClr val="lt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id-ID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Kepala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id-ID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Badan Perencanaan Pembangunan Daerah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id-ID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Provinsi Sumatera Barat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id-ID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      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d-ID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				</a:t>
          </a:r>
          <a:endParaRPr lang="en-US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id-ID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	</a:t>
          </a:r>
          <a:endParaRPr lang="en-US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id-ID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---------------------------------------</a:t>
          </a:r>
        </a:p>
        <a:p>
          <a:pPr algn="ctr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NIP. -</a:t>
          </a:r>
          <a:r>
            <a:rPr lang="id-ID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-----------------------------------</a:t>
          </a:r>
          <a:endParaRPr lang="en-US" sz="1100">
            <a:effectLst/>
          </a:endParaRPr>
        </a:p>
        <a:p>
          <a:pPr algn="ctr"/>
          <a:r>
            <a:rPr lang="id-ID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</a:t>
          </a:r>
          <a:endParaRPr lang="en-US" sz="1100">
            <a:effectLst/>
          </a:endParaRPr>
        </a:p>
        <a:p>
          <a:pPr algn="ctr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93"/>
  <sheetViews>
    <sheetView workbookViewId="0"/>
  </sheetViews>
  <sheetFormatPr defaultRowHeight="12.75"/>
  <cols>
    <col min="1" max="5" width="2.7109375" style="56" customWidth="1"/>
    <col min="6" max="7" width="30.7109375" style="8" customWidth="1"/>
    <col min="8" max="16" width="10.42578125" style="8" customWidth="1"/>
    <col min="17" max="16384" width="9.140625" style="8"/>
  </cols>
  <sheetData>
    <row r="1" spans="1:16" s="1" customFormat="1" ht="15.75">
      <c r="A1" s="5" t="s">
        <v>249</v>
      </c>
      <c r="B1" s="4"/>
      <c r="C1" s="4"/>
      <c r="D1" s="4"/>
      <c r="E1" s="4"/>
    </row>
    <row r="2" spans="1:16">
      <c r="A2" s="7"/>
    </row>
    <row r="3" spans="1:16" s="1" customFormat="1" ht="15.75">
      <c r="A3" s="6" t="s">
        <v>158</v>
      </c>
      <c r="B3" s="4"/>
      <c r="C3" s="4"/>
      <c r="D3" s="4"/>
      <c r="E3" s="4"/>
    </row>
    <row r="4" spans="1:16">
      <c r="A4" s="7"/>
    </row>
    <row r="5" spans="1:16" ht="53.25" customHeight="1">
      <c r="A5" s="160" t="s">
        <v>1</v>
      </c>
      <c r="B5" s="160"/>
      <c r="C5" s="160"/>
      <c r="D5" s="160"/>
      <c r="E5" s="160"/>
      <c r="F5" s="160" t="s">
        <v>2</v>
      </c>
      <c r="G5" s="160" t="s">
        <v>122</v>
      </c>
      <c r="H5" s="160" t="s">
        <v>200</v>
      </c>
      <c r="I5" s="160" t="s">
        <v>250</v>
      </c>
      <c r="J5" s="160" t="s">
        <v>251</v>
      </c>
      <c r="K5" s="160"/>
      <c r="L5" s="160"/>
      <c r="M5" s="160" t="s">
        <v>252</v>
      </c>
      <c r="N5" s="162" t="s">
        <v>253</v>
      </c>
      <c r="O5" s="163"/>
      <c r="P5" s="160" t="s">
        <v>201</v>
      </c>
    </row>
    <row r="6" spans="1:16" ht="49.5" customHeight="1">
      <c r="A6" s="160"/>
      <c r="B6" s="160"/>
      <c r="C6" s="160"/>
      <c r="D6" s="160"/>
      <c r="E6" s="160"/>
      <c r="F6" s="160"/>
      <c r="G6" s="160"/>
      <c r="H6" s="160"/>
      <c r="I6" s="160"/>
      <c r="J6" s="100" t="s">
        <v>198</v>
      </c>
      <c r="K6" s="100" t="s">
        <v>199</v>
      </c>
      <c r="L6" s="57" t="s">
        <v>3</v>
      </c>
      <c r="M6" s="160"/>
      <c r="N6" s="100" t="s">
        <v>18</v>
      </c>
      <c r="O6" s="100" t="s">
        <v>35</v>
      </c>
      <c r="P6" s="160"/>
    </row>
    <row r="7" spans="1:16" s="9" customFormat="1">
      <c r="A7" s="161">
        <v>1</v>
      </c>
      <c r="B7" s="161"/>
      <c r="C7" s="161"/>
      <c r="D7" s="161"/>
      <c r="E7" s="161"/>
      <c r="F7" s="58">
        <v>2</v>
      </c>
      <c r="G7" s="58">
        <v>3</v>
      </c>
      <c r="H7" s="58">
        <v>4</v>
      </c>
      <c r="I7" s="58">
        <v>5</v>
      </c>
      <c r="J7" s="58">
        <v>6</v>
      </c>
      <c r="K7" s="58">
        <v>7</v>
      </c>
      <c r="L7" s="58" t="s">
        <v>4</v>
      </c>
      <c r="M7" s="58">
        <v>9</v>
      </c>
      <c r="N7" s="101" t="s">
        <v>202</v>
      </c>
      <c r="O7" s="101" t="s">
        <v>203</v>
      </c>
      <c r="P7" s="58">
        <v>12</v>
      </c>
    </row>
    <row r="8" spans="1:16" s="16" customFormat="1">
      <c r="A8" s="13"/>
      <c r="B8" s="13"/>
      <c r="C8" s="13"/>
      <c r="D8" s="13"/>
      <c r="E8" s="13"/>
      <c r="F8" s="14" t="s">
        <v>41</v>
      </c>
      <c r="G8" s="14"/>
      <c r="H8" s="15"/>
      <c r="I8" s="15"/>
      <c r="J8" s="15"/>
      <c r="K8" s="15"/>
      <c r="L8" s="15"/>
      <c r="M8" s="15"/>
      <c r="N8" s="15"/>
      <c r="O8" s="15"/>
      <c r="P8" s="15"/>
    </row>
    <row r="9" spans="1:16" s="16" customFormat="1" ht="25.5">
      <c r="A9" s="13">
        <v>1</v>
      </c>
      <c r="B9" s="13">
        <v>13</v>
      </c>
      <c r="C9" s="17" t="s">
        <v>8</v>
      </c>
      <c r="D9" s="13"/>
      <c r="E9" s="13"/>
      <c r="F9" s="14" t="s">
        <v>5</v>
      </c>
      <c r="G9" s="14"/>
      <c r="H9" s="15"/>
      <c r="I9" s="15"/>
      <c r="J9" s="15"/>
      <c r="K9" s="15"/>
      <c r="L9" s="15"/>
      <c r="M9" s="15"/>
      <c r="N9" s="15"/>
      <c r="O9" s="15"/>
      <c r="P9" s="15"/>
    </row>
    <row r="10" spans="1:16" s="18" customFormat="1" ht="25.5">
      <c r="A10" s="13">
        <v>1</v>
      </c>
      <c r="B10" s="13">
        <v>13</v>
      </c>
      <c r="C10" s="17" t="s">
        <v>8</v>
      </c>
      <c r="D10" s="17" t="s">
        <v>66</v>
      </c>
      <c r="E10" s="13"/>
      <c r="F10" s="14" t="s">
        <v>67</v>
      </c>
      <c r="G10" s="14" t="s">
        <v>68</v>
      </c>
      <c r="H10" s="15">
        <v>100</v>
      </c>
      <c r="I10" s="15">
        <f>(100/5)*4</f>
        <v>80</v>
      </c>
      <c r="J10" s="15">
        <f>(100/5)*5</f>
        <v>100</v>
      </c>
      <c r="K10" s="15">
        <v>100</v>
      </c>
      <c r="L10" s="15">
        <f>(K10/J10)*100</f>
        <v>100</v>
      </c>
      <c r="M10" s="15">
        <v>20</v>
      </c>
      <c r="N10" s="15">
        <v>20</v>
      </c>
      <c r="O10" s="15">
        <f>(N10/M10)*100</f>
        <v>100</v>
      </c>
      <c r="P10" s="15"/>
    </row>
    <row r="11" spans="1:16" ht="25.5">
      <c r="A11" s="10">
        <v>1</v>
      </c>
      <c r="B11" s="10">
        <v>13</v>
      </c>
      <c r="C11" s="19" t="s">
        <v>8</v>
      </c>
      <c r="D11" s="19" t="s">
        <v>66</v>
      </c>
      <c r="E11" s="19" t="s">
        <v>66</v>
      </c>
      <c r="F11" s="11" t="s">
        <v>69</v>
      </c>
      <c r="G11" s="11" t="s">
        <v>257</v>
      </c>
      <c r="H11" s="12">
        <f>2000*5</f>
        <v>10000</v>
      </c>
      <c r="I11" s="12">
        <f>(10000/5)*4</f>
        <v>8000</v>
      </c>
      <c r="J11" s="12">
        <v>2000</v>
      </c>
      <c r="K11" s="12">
        <v>2000</v>
      </c>
      <c r="L11" s="12">
        <f t="shared" ref="L11" si="0">(K11/J11)*100</f>
        <v>100</v>
      </c>
      <c r="M11" s="12">
        <v>1</v>
      </c>
      <c r="N11" s="12">
        <v>1</v>
      </c>
      <c r="O11" s="12">
        <f t="shared" ref="O11:O76" si="1">(N11/M11)*100</f>
        <v>100</v>
      </c>
      <c r="P11" s="12"/>
    </row>
    <row r="12" spans="1:16" ht="25.5">
      <c r="A12" s="10">
        <v>1</v>
      </c>
      <c r="B12" s="10">
        <v>13</v>
      </c>
      <c r="C12" s="19" t="s">
        <v>8</v>
      </c>
      <c r="D12" s="19" t="s">
        <v>66</v>
      </c>
      <c r="E12" s="19" t="s">
        <v>8</v>
      </c>
      <c r="F12" s="11" t="s">
        <v>71</v>
      </c>
      <c r="G12" s="11" t="s">
        <v>128</v>
      </c>
      <c r="H12" s="12">
        <f>12*5</f>
        <v>60</v>
      </c>
      <c r="I12" s="12">
        <f>(60/5)*4</f>
        <v>48</v>
      </c>
      <c r="J12" s="12">
        <v>12</v>
      </c>
      <c r="K12" s="12">
        <v>12</v>
      </c>
      <c r="L12" s="12">
        <f t="shared" ref="L12" si="2">(K12/J12)*100</f>
        <v>100</v>
      </c>
      <c r="M12" s="12">
        <v>12</v>
      </c>
      <c r="N12" s="12">
        <v>12</v>
      </c>
      <c r="O12" s="12">
        <f t="shared" si="1"/>
        <v>100</v>
      </c>
      <c r="P12" s="12"/>
    </row>
    <row r="13" spans="1:16" ht="25.5">
      <c r="A13" s="10">
        <v>1</v>
      </c>
      <c r="B13" s="10">
        <v>13</v>
      </c>
      <c r="C13" s="19" t="s">
        <v>8</v>
      </c>
      <c r="D13" s="19" t="s">
        <v>66</v>
      </c>
      <c r="E13" s="19" t="s">
        <v>12</v>
      </c>
      <c r="F13" s="11" t="s">
        <v>72</v>
      </c>
      <c r="G13" s="11" t="s">
        <v>108</v>
      </c>
      <c r="H13" s="12">
        <f>1*5</f>
        <v>5</v>
      </c>
      <c r="I13" s="12">
        <f>(5/5)*4</f>
        <v>4</v>
      </c>
      <c r="J13" s="12">
        <v>1</v>
      </c>
      <c r="K13" s="12">
        <v>1</v>
      </c>
      <c r="L13" s="12">
        <f t="shared" ref="L13:L14" si="3">(K13/J13)*100</f>
        <v>100</v>
      </c>
      <c r="M13" s="12">
        <v>1</v>
      </c>
      <c r="N13" s="12">
        <v>1</v>
      </c>
      <c r="O13" s="12">
        <f t="shared" si="1"/>
        <v>100</v>
      </c>
      <c r="P13" s="12"/>
    </row>
    <row r="14" spans="1:16" ht="25.5">
      <c r="A14" s="10">
        <v>1</v>
      </c>
      <c r="B14" s="10">
        <v>13</v>
      </c>
      <c r="C14" s="19" t="s">
        <v>8</v>
      </c>
      <c r="D14" s="19" t="s">
        <v>66</v>
      </c>
      <c r="E14" s="10">
        <v>10</v>
      </c>
      <c r="F14" s="11" t="s">
        <v>73</v>
      </c>
      <c r="G14" s="11" t="s">
        <v>95</v>
      </c>
      <c r="H14" s="12">
        <f>12*5</f>
        <v>60</v>
      </c>
      <c r="I14" s="12">
        <f>(60/5)*4</f>
        <v>48</v>
      </c>
      <c r="J14" s="12">
        <v>12</v>
      </c>
      <c r="K14" s="12">
        <v>12</v>
      </c>
      <c r="L14" s="12">
        <f t="shared" si="3"/>
        <v>100</v>
      </c>
      <c r="M14" s="12">
        <v>12</v>
      </c>
      <c r="N14" s="12">
        <v>12</v>
      </c>
      <c r="O14" s="12">
        <f t="shared" si="1"/>
        <v>100</v>
      </c>
      <c r="P14" s="12"/>
    </row>
    <row r="15" spans="1:16" ht="25.5">
      <c r="A15" s="10">
        <v>1</v>
      </c>
      <c r="B15" s="10">
        <v>13</v>
      </c>
      <c r="C15" s="19" t="s">
        <v>8</v>
      </c>
      <c r="D15" s="19" t="s">
        <v>66</v>
      </c>
      <c r="E15" s="10">
        <v>11</v>
      </c>
      <c r="F15" s="11" t="s">
        <v>74</v>
      </c>
      <c r="G15" s="11" t="s">
        <v>129</v>
      </c>
      <c r="H15" s="12">
        <f>1*5</f>
        <v>5</v>
      </c>
      <c r="I15" s="12">
        <f>(5/5)*4</f>
        <v>4</v>
      </c>
      <c r="J15" s="12">
        <v>1</v>
      </c>
      <c r="K15" s="12">
        <v>1</v>
      </c>
      <c r="L15" s="12">
        <f t="shared" ref="L15:L16" si="4">(K15/J15)*100</f>
        <v>100</v>
      </c>
      <c r="M15" s="12">
        <v>1</v>
      </c>
      <c r="N15" s="12">
        <v>1</v>
      </c>
      <c r="O15" s="12">
        <f t="shared" si="1"/>
        <v>100</v>
      </c>
      <c r="P15" s="12"/>
    </row>
    <row r="16" spans="1:16" ht="25.5">
      <c r="A16" s="10">
        <v>1</v>
      </c>
      <c r="B16" s="10">
        <v>13</v>
      </c>
      <c r="C16" s="19" t="s">
        <v>8</v>
      </c>
      <c r="D16" s="19" t="s">
        <v>66</v>
      </c>
      <c r="E16" s="10">
        <v>12</v>
      </c>
      <c r="F16" s="11" t="s">
        <v>75</v>
      </c>
      <c r="G16" s="11" t="s">
        <v>96</v>
      </c>
      <c r="H16" s="12">
        <f>12*5</f>
        <v>60</v>
      </c>
      <c r="I16" s="12">
        <f>(60/5)*4</f>
        <v>48</v>
      </c>
      <c r="J16" s="12">
        <v>12</v>
      </c>
      <c r="K16" s="12">
        <v>12</v>
      </c>
      <c r="L16" s="12">
        <f t="shared" si="4"/>
        <v>100</v>
      </c>
      <c r="M16" s="12">
        <v>12</v>
      </c>
      <c r="N16" s="12">
        <v>12</v>
      </c>
      <c r="O16" s="12">
        <f t="shared" si="1"/>
        <v>100</v>
      </c>
      <c r="P16" s="12"/>
    </row>
    <row r="17" spans="1:16" s="75" customFormat="1" ht="25.5">
      <c r="A17" s="66">
        <v>1</v>
      </c>
      <c r="B17" s="66">
        <v>13</v>
      </c>
      <c r="C17" s="85" t="s">
        <v>8</v>
      </c>
      <c r="D17" s="85" t="s">
        <v>66</v>
      </c>
      <c r="E17" s="85" t="s">
        <v>88</v>
      </c>
      <c r="F17" s="86" t="s">
        <v>76</v>
      </c>
      <c r="G17" s="86" t="s">
        <v>258</v>
      </c>
      <c r="H17" s="59">
        <f>11+11+61+57+57</f>
        <v>197</v>
      </c>
      <c r="I17" s="59">
        <f>11+11+61+61</f>
        <v>144</v>
      </c>
      <c r="J17" s="59">
        <v>61</v>
      </c>
      <c r="K17" s="59">
        <v>61</v>
      </c>
      <c r="L17" s="59">
        <f t="shared" ref="L17" si="5">(K17/J17)*100</f>
        <v>100</v>
      </c>
      <c r="M17" s="59">
        <v>3</v>
      </c>
      <c r="N17" s="59">
        <v>3</v>
      </c>
      <c r="O17" s="59">
        <f t="shared" si="1"/>
        <v>100</v>
      </c>
      <c r="P17" s="59"/>
    </row>
    <row r="18" spans="1:16" s="75" customFormat="1" ht="25.5">
      <c r="A18" s="66">
        <v>1</v>
      </c>
      <c r="B18" s="66">
        <v>13</v>
      </c>
      <c r="C18" s="85" t="s">
        <v>8</v>
      </c>
      <c r="D18" s="85" t="s">
        <v>66</v>
      </c>
      <c r="E18" s="66">
        <v>15</v>
      </c>
      <c r="F18" s="86" t="s">
        <v>77</v>
      </c>
      <c r="G18" s="86" t="s">
        <v>97</v>
      </c>
      <c r="H18" s="59">
        <f>5+5+4+2+6</f>
        <v>22</v>
      </c>
      <c r="I18" s="59">
        <f>5+5+4+6</f>
        <v>20</v>
      </c>
      <c r="J18" s="59">
        <v>6</v>
      </c>
      <c r="K18" s="59">
        <v>6</v>
      </c>
      <c r="L18" s="59">
        <f t="shared" ref="L18:L20" si="6">(K18/J18)*100</f>
        <v>100</v>
      </c>
      <c r="M18" s="59">
        <v>6</v>
      </c>
      <c r="N18" s="59">
        <v>6</v>
      </c>
      <c r="O18" s="59">
        <f t="shared" si="1"/>
        <v>100</v>
      </c>
      <c r="P18" s="59"/>
    </row>
    <row r="19" spans="1:16" ht="25.5">
      <c r="A19" s="10">
        <v>1</v>
      </c>
      <c r="B19" s="10">
        <v>13</v>
      </c>
      <c r="C19" s="19" t="s">
        <v>8</v>
      </c>
      <c r="D19" s="19" t="s">
        <v>66</v>
      </c>
      <c r="E19" s="10">
        <v>17</v>
      </c>
      <c r="F19" s="11" t="s">
        <v>78</v>
      </c>
      <c r="G19" s="11" t="s">
        <v>99</v>
      </c>
      <c r="H19" s="12">
        <f>12*5</f>
        <v>60</v>
      </c>
      <c r="I19" s="12">
        <f>(60/5)*4</f>
        <v>48</v>
      </c>
      <c r="J19" s="12">
        <v>12</v>
      </c>
      <c r="K19" s="12">
        <v>12</v>
      </c>
      <c r="L19" s="12">
        <f t="shared" si="6"/>
        <v>100</v>
      </c>
      <c r="M19" s="12">
        <v>12</v>
      </c>
      <c r="N19" s="12">
        <v>12</v>
      </c>
      <c r="O19" s="12">
        <f t="shared" si="1"/>
        <v>100</v>
      </c>
      <c r="P19" s="12"/>
    </row>
    <row r="20" spans="1:16" ht="38.25">
      <c r="A20" s="10">
        <v>1</v>
      </c>
      <c r="B20" s="10">
        <v>13</v>
      </c>
      <c r="C20" s="19" t="s">
        <v>8</v>
      </c>
      <c r="D20" s="19" t="s">
        <v>66</v>
      </c>
      <c r="E20" s="10">
        <v>18</v>
      </c>
      <c r="F20" s="11" t="s">
        <v>124</v>
      </c>
      <c r="G20" s="11" t="s">
        <v>130</v>
      </c>
      <c r="H20" s="12">
        <f>1*5</f>
        <v>5</v>
      </c>
      <c r="I20" s="12">
        <f>(5/5)*4</f>
        <v>4</v>
      </c>
      <c r="J20" s="12">
        <v>1</v>
      </c>
      <c r="K20" s="12">
        <v>1</v>
      </c>
      <c r="L20" s="12">
        <f t="shared" si="6"/>
        <v>100</v>
      </c>
      <c r="M20" s="12">
        <v>1</v>
      </c>
      <c r="N20" s="12">
        <v>1</v>
      </c>
      <c r="O20" s="12">
        <f t="shared" si="1"/>
        <v>100</v>
      </c>
      <c r="P20" s="12"/>
    </row>
    <row r="21" spans="1:16" ht="25.5">
      <c r="A21" s="10">
        <v>1</v>
      </c>
      <c r="B21" s="10">
        <v>13</v>
      </c>
      <c r="C21" s="19" t="s">
        <v>8</v>
      </c>
      <c r="D21" s="19" t="s">
        <v>66</v>
      </c>
      <c r="E21" s="10">
        <v>24</v>
      </c>
      <c r="F21" s="11" t="s">
        <v>79</v>
      </c>
      <c r="G21" s="11" t="s">
        <v>100</v>
      </c>
      <c r="H21" s="12">
        <f>12*5</f>
        <v>60</v>
      </c>
      <c r="I21" s="12">
        <f>(60/5)*4</f>
        <v>48</v>
      </c>
      <c r="J21" s="12">
        <v>12</v>
      </c>
      <c r="K21" s="12">
        <v>12</v>
      </c>
      <c r="L21" s="12">
        <f t="shared" ref="L21:L22" si="7">(K21/J21)*100</f>
        <v>100</v>
      </c>
      <c r="M21" s="12">
        <v>12</v>
      </c>
      <c r="N21" s="12">
        <v>12</v>
      </c>
      <c r="O21" s="12">
        <f t="shared" si="1"/>
        <v>100</v>
      </c>
      <c r="P21" s="12"/>
    </row>
    <row r="22" spans="1:16" ht="25.5">
      <c r="A22" s="10">
        <v>1</v>
      </c>
      <c r="B22" s="10">
        <v>13</v>
      </c>
      <c r="C22" s="19" t="s">
        <v>8</v>
      </c>
      <c r="D22" s="19" t="s">
        <v>66</v>
      </c>
      <c r="E22" s="10">
        <v>25</v>
      </c>
      <c r="F22" s="11" t="s">
        <v>143</v>
      </c>
      <c r="G22" s="11" t="s">
        <v>204</v>
      </c>
      <c r="H22" s="12">
        <f>1*5</f>
        <v>5</v>
      </c>
      <c r="I22" s="12">
        <f>(5/5)*4</f>
        <v>4</v>
      </c>
      <c r="J22" s="12">
        <v>1</v>
      </c>
      <c r="K22" s="12">
        <v>1</v>
      </c>
      <c r="L22" s="12">
        <f t="shared" si="7"/>
        <v>100</v>
      </c>
      <c r="M22" s="12">
        <v>1</v>
      </c>
      <c r="N22" s="12">
        <v>1</v>
      </c>
      <c r="O22" s="12">
        <f t="shared" si="1"/>
        <v>100</v>
      </c>
      <c r="P22" s="12"/>
    </row>
    <row r="23" spans="1:16" s="18" customFormat="1" ht="38.25">
      <c r="A23" s="13">
        <v>1</v>
      </c>
      <c r="B23" s="13">
        <v>13</v>
      </c>
      <c r="C23" s="17" t="s">
        <v>8</v>
      </c>
      <c r="D23" s="17" t="s">
        <v>8</v>
      </c>
      <c r="E23" s="13"/>
      <c r="F23" s="14" t="s">
        <v>80</v>
      </c>
      <c r="G23" s="14" t="s">
        <v>81</v>
      </c>
      <c r="H23" s="15">
        <v>100</v>
      </c>
      <c r="I23" s="15">
        <f>(100/5)*4</f>
        <v>80</v>
      </c>
      <c r="J23" s="15">
        <f>(100/5)*5</f>
        <v>100</v>
      </c>
      <c r="K23" s="15">
        <v>100</v>
      </c>
      <c r="L23" s="15">
        <f>(K23/J23)*100</f>
        <v>100</v>
      </c>
      <c r="M23" s="15">
        <v>100</v>
      </c>
      <c r="N23" s="15">
        <v>100</v>
      </c>
      <c r="O23" s="15">
        <f t="shared" si="1"/>
        <v>100</v>
      </c>
      <c r="P23" s="15"/>
    </row>
    <row r="24" spans="1:16" ht="25.5">
      <c r="A24" s="10">
        <v>1</v>
      </c>
      <c r="B24" s="10">
        <v>13</v>
      </c>
      <c r="C24" s="19" t="s">
        <v>8</v>
      </c>
      <c r="D24" s="19" t="s">
        <v>8</v>
      </c>
      <c r="E24" s="19" t="s">
        <v>9</v>
      </c>
      <c r="F24" s="11" t="s">
        <v>131</v>
      </c>
      <c r="G24" s="11" t="s">
        <v>205</v>
      </c>
      <c r="H24" s="12">
        <f>0+1+12+0+0</f>
        <v>13</v>
      </c>
      <c r="I24" s="12">
        <v>13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/>
    </row>
    <row r="25" spans="1:16" s="75" customFormat="1" ht="12.75" customHeight="1">
      <c r="A25" s="66">
        <v>1</v>
      </c>
      <c r="B25" s="66">
        <v>13</v>
      </c>
      <c r="C25" s="85" t="s">
        <v>8</v>
      </c>
      <c r="D25" s="85" t="s">
        <v>8</v>
      </c>
      <c r="E25" s="85">
        <v>10</v>
      </c>
      <c r="F25" s="86" t="s">
        <v>125</v>
      </c>
      <c r="G25" s="86" t="s">
        <v>101</v>
      </c>
      <c r="H25" s="59">
        <f>20+19+0+3+19</f>
        <v>61</v>
      </c>
      <c r="I25" s="59">
        <f>20+19+0+16</f>
        <v>55</v>
      </c>
      <c r="J25" s="59">
        <v>6</v>
      </c>
      <c r="K25" s="59">
        <v>6</v>
      </c>
      <c r="L25" s="59">
        <f t="shared" ref="L25" si="8">(K25/J25)*100</f>
        <v>100</v>
      </c>
      <c r="M25" s="59">
        <v>0</v>
      </c>
      <c r="N25" s="59">
        <v>0</v>
      </c>
      <c r="O25" s="59">
        <v>0</v>
      </c>
      <c r="P25" s="59"/>
    </row>
    <row r="26" spans="1:16" s="75" customFormat="1" ht="25.5">
      <c r="A26" s="66">
        <v>1</v>
      </c>
      <c r="B26" s="66">
        <v>13</v>
      </c>
      <c r="C26" s="85" t="s">
        <v>8</v>
      </c>
      <c r="D26" s="85" t="s">
        <v>8</v>
      </c>
      <c r="E26" s="85">
        <v>15</v>
      </c>
      <c r="F26" s="86" t="s">
        <v>82</v>
      </c>
      <c r="G26" s="86" t="s">
        <v>132</v>
      </c>
      <c r="H26" s="59">
        <f>20+0+28+18+11</f>
        <v>77</v>
      </c>
      <c r="I26" s="59">
        <f>20+0+28+18</f>
        <v>66</v>
      </c>
      <c r="J26" s="59">
        <v>11</v>
      </c>
      <c r="K26" s="59">
        <v>11</v>
      </c>
      <c r="L26" s="59">
        <f t="shared" ref="L26:L27" si="9">(K26/J26)*100</f>
        <v>100</v>
      </c>
      <c r="M26" s="59">
        <v>0</v>
      </c>
      <c r="N26" s="59">
        <v>0</v>
      </c>
      <c r="O26" s="59">
        <v>0</v>
      </c>
      <c r="P26" s="59"/>
    </row>
    <row r="27" spans="1:16" s="75" customFormat="1" ht="25.5">
      <c r="A27" s="66">
        <v>1</v>
      </c>
      <c r="B27" s="66">
        <v>13</v>
      </c>
      <c r="C27" s="85" t="s">
        <v>8</v>
      </c>
      <c r="D27" s="85" t="s">
        <v>8</v>
      </c>
      <c r="E27" s="85">
        <v>16</v>
      </c>
      <c r="F27" s="86" t="s">
        <v>208</v>
      </c>
      <c r="G27" s="86" t="s">
        <v>133</v>
      </c>
      <c r="H27" s="59">
        <f>0+0+2+0+6</f>
        <v>8</v>
      </c>
      <c r="I27" s="59">
        <f>0+0+2+0</f>
        <v>2</v>
      </c>
      <c r="J27" s="59">
        <v>6</v>
      </c>
      <c r="K27" s="59">
        <v>6</v>
      </c>
      <c r="L27" s="59">
        <f t="shared" si="9"/>
        <v>100</v>
      </c>
      <c r="M27" s="59">
        <v>0</v>
      </c>
      <c r="N27" s="59">
        <v>0</v>
      </c>
      <c r="O27" s="59">
        <v>0</v>
      </c>
      <c r="P27" s="59"/>
    </row>
    <row r="28" spans="1:16" s="75" customFormat="1" ht="25.5">
      <c r="A28" s="66">
        <v>1</v>
      </c>
      <c r="B28" s="66">
        <v>13</v>
      </c>
      <c r="C28" s="85" t="s">
        <v>8</v>
      </c>
      <c r="D28" s="85" t="s">
        <v>8</v>
      </c>
      <c r="E28" s="66">
        <v>19</v>
      </c>
      <c r="F28" s="86" t="s">
        <v>209</v>
      </c>
      <c r="G28" s="86" t="s">
        <v>134</v>
      </c>
      <c r="H28" s="59">
        <f>0+0+18+11+8</f>
        <v>37</v>
      </c>
      <c r="I28" s="59">
        <f>0+0+18+11</f>
        <v>29</v>
      </c>
      <c r="J28" s="59">
        <v>8</v>
      </c>
      <c r="K28" s="59">
        <v>8</v>
      </c>
      <c r="L28" s="59">
        <f t="shared" ref="L28" si="10">(K28/J28)*100</f>
        <v>100</v>
      </c>
      <c r="M28" s="59">
        <v>3</v>
      </c>
      <c r="N28" s="59">
        <v>3</v>
      </c>
      <c r="O28" s="59">
        <f t="shared" si="1"/>
        <v>100</v>
      </c>
      <c r="P28" s="59"/>
    </row>
    <row r="29" spans="1:16" ht="25.5">
      <c r="A29" s="10">
        <v>1</v>
      </c>
      <c r="B29" s="10">
        <v>13</v>
      </c>
      <c r="C29" s="19" t="s">
        <v>8</v>
      </c>
      <c r="D29" s="19" t="s">
        <v>8</v>
      </c>
      <c r="E29" s="10">
        <v>21</v>
      </c>
      <c r="F29" s="11" t="s">
        <v>83</v>
      </c>
      <c r="G29" s="11" t="s">
        <v>102</v>
      </c>
      <c r="H29" s="12">
        <f>1*5</f>
        <v>5</v>
      </c>
      <c r="I29" s="12">
        <f>(5/5)*4</f>
        <v>4</v>
      </c>
      <c r="J29" s="12">
        <v>1</v>
      </c>
      <c r="K29" s="12">
        <v>1</v>
      </c>
      <c r="L29" s="12">
        <f t="shared" ref="L29" si="11">(K29/J29)*100</f>
        <v>100</v>
      </c>
      <c r="M29" s="12">
        <v>1</v>
      </c>
      <c r="N29" s="12">
        <v>1</v>
      </c>
      <c r="O29" s="12">
        <f t="shared" si="1"/>
        <v>100</v>
      </c>
      <c r="P29" s="12"/>
    </row>
    <row r="30" spans="1:16" s="75" customFormat="1" ht="25.5">
      <c r="A30" s="66">
        <v>1</v>
      </c>
      <c r="B30" s="66">
        <v>13</v>
      </c>
      <c r="C30" s="85" t="s">
        <v>8</v>
      </c>
      <c r="D30" s="85" t="s">
        <v>8</v>
      </c>
      <c r="E30" s="66">
        <v>23</v>
      </c>
      <c r="F30" s="86" t="s">
        <v>84</v>
      </c>
      <c r="G30" s="86" t="s">
        <v>103</v>
      </c>
      <c r="H30" s="59">
        <f>20+20+22+32+57</f>
        <v>151</v>
      </c>
      <c r="I30" s="59">
        <f>20+20+22+32</f>
        <v>94</v>
      </c>
      <c r="J30" s="59">
        <v>57</v>
      </c>
      <c r="K30" s="59">
        <v>57</v>
      </c>
      <c r="L30" s="59">
        <f t="shared" ref="L30:L33" si="12">(K30/J30)*100</f>
        <v>100</v>
      </c>
      <c r="M30" s="59">
        <v>57</v>
      </c>
      <c r="N30" s="59">
        <v>57</v>
      </c>
      <c r="O30" s="59">
        <f t="shared" si="1"/>
        <v>100</v>
      </c>
      <c r="P30" s="59"/>
    </row>
    <row r="31" spans="1:16" s="75" customFormat="1" ht="25.5">
      <c r="A31" s="66">
        <v>1</v>
      </c>
      <c r="B31" s="66">
        <v>13</v>
      </c>
      <c r="C31" s="85" t="s">
        <v>8</v>
      </c>
      <c r="D31" s="85" t="s">
        <v>8</v>
      </c>
      <c r="E31" s="66">
        <v>25</v>
      </c>
      <c r="F31" s="86" t="s">
        <v>113</v>
      </c>
      <c r="G31" s="86" t="s">
        <v>105</v>
      </c>
      <c r="H31" s="59">
        <f>28+28+64+30+34</f>
        <v>184</v>
      </c>
      <c r="I31" s="59">
        <f>28+28+64+30</f>
        <v>150</v>
      </c>
      <c r="J31" s="59">
        <v>34</v>
      </c>
      <c r="K31" s="59">
        <v>34</v>
      </c>
      <c r="L31" s="59">
        <f t="shared" ref="L31" si="13">(K31/J31)*100</f>
        <v>100</v>
      </c>
      <c r="M31" s="59">
        <v>26</v>
      </c>
      <c r="N31" s="59">
        <v>26</v>
      </c>
      <c r="O31" s="59">
        <f t="shared" si="1"/>
        <v>100</v>
      </c>
      <c r="P31" s="59"/>
    </row>
    <row r="32" spans="1:16" s="75" customFormat="1" ht="25.5">
      <c r="A32" s="66">
        <v>1</v>
      </c>
      <c r="B32" s="66">
        <v>13</v>
      </c>
      <c r="C32" s="85" t="s">
        <v>8</v>
      </c>
      <c r="D32" s="85" t="s">
        <v>8</v>
      </c>
      <c r="E32" s="66">
        <v>27</v>
      </c>
      <c r="F32" s="86" t="s">
        <v>118</v>
      </c>
      <c r="G32" s="86" t="s">
        <v>259</v>
      </c>
      <c r="H32" s="59">
        <f>20+20+21+21+21</f>
        <v>103</v>
      </c>
      <c r="I32" s="59">
        <f>20+20+21+21</f>
        <v>82</v>
      </c>
      <c r="J32" s="59">
        <v>21</v>
      </c>
      <c r="K32" s="59">
        <v>21</v>
      </c>
      <c r="L32" s="59">
        <f t="shared" ref="L32" si="14">(K32/J32)*100</f>
        <v>100</v>
      </c>
      <c r="M32" s="59">
        <v>21</v>
      </c>
      <c r="N32" s="59">
        <v>21</v>
      </c>
      <c r="O32" s="59">
        <f t="shared" si="1"/>
        <v>100</v>
      </c>
      <c r="P32" s="59"/>
    </row>
    <row r="33" spans="1:16" ht="25.5">
      <c r="A33" s="10">
        <v>1</v>
      </c>
      <c r="B33" s="10">
        <v>13</v>
      </c>
      <c r="C33" s="19" t="s">
        <v>8</v>
      </c>
      <c r="D33" s="19" t="s">
        <v>8</v>
      </c>
      <c r="E33" s="10">
        <v>28</v>
      </c>
      <c r="F33" s="11" t="s">
        <v>85</v>
      </c>
      <c r="G33" s="11" t="s">
        <v>104</v>
      </c>
      <c r="H33" s="12">
        <f>1*5</f>
        <v>5</v>
      </c>
      <c r="I33" s="12">
        <f>(5/5)*4</f>
        <v>4</v>
      </c>
      <c r="J33" s="12">
        <v>1</v>
      </c>
      <c r="K33" s="12">
        <v>1</v>
      </c>
      <c r="L33" s="12">
        <f t="shared" si="12"/>
        <v>100</v>
      </c>
      <c r="M33" s="12">
        <v>1</v>
      </c>
      <c r="N33" s="12">
        <v>1</v>
      </c>
      <c r="O33" s="12">
        <f t="shared" si="1"/>
        <v>100</v>
      </c>
      <c r="P33" s="12"/>
    </row>
    <row r="34" spans="1:16" ht="25.5">
      <c r="A34" s="10">
        <v>1</v>
      </c>
      <c r="B34" s="10">
        <v>13</v>
      </c>
      <c r="C34" s="19" t="s">
        <v>8</v>
      </c>
      <c r="D34" s="19" t="s">
        <v>8</v>
      </c>
      <c r="E34" s="10">
        <v>29</v>
      </c>
      <c r="F34" s="11" t="s">
        <v>87</v>
      </c>
      <c r="G34" s="11" t="s">
        <v>135</v>
      </c>
      <c r="H34" s="12">
        <f>12*5</f>
        <v>60</v>
      </c>
      <c r="I34" s="12">
        <f>(60/5)*4</f>
        <v>48</v>
      </c>
      <c r="J34" s="12">
        <v>12</v>
      </c>
      <c r="K34" s="12">
        <v>12</v>
      </c>
      <c r="L34" s="12">
        <f t="shared" ref="L34" si="15">(K34/J34)*100</f>
        <v>100</v>
      </c>
      <c r="M34" s="12">
        <v>12</v>
      </c>
      <c r="N34" s="12">
        <v>12</v>
      </c>
      <c r="O34" s="12">
        <f t="shared" si="1"/>
        <v>100</v>
      </c>
      <c r="P34" s="12"/>
    </row>
    <row r="35" spans="1:16" ht="25.5">
      <c r="A35" s="10">
        <v>1</v>
      </c>
      <c r="B35" s="10">
        <v>13</v>
      </c>
      <c r="C35" s="19" t="s">
        <v>8</v>
      </c>
      <c r="D35" s="19" t="s">
        <v>8</v>
      </c>
      <c r="E35" s="10">
        <v>42</v>
      </c>
      <c r="F35" s="11" t="s">
        <v>86</v>
      </c>
      <c r="G35" s="11" t="s">
        <v>106</v>
      </c>
      <c r="H35" s="12">
        <f>0+1+0+0+0</f>
        <v>1</v>
      </c>
      <c r="I35" s="12">
        <v>1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/>
    </row>
    <row r="36" spans="1:16" s="18" customFormat="1" ht="25.5">
      <c r="A36" s="13">
        <v>1</v>
      </c>
      <c r="B36" s="13">
        <v>13</v>
      </c>
      <c r="C36" s="17" t="s">
        <v>8</v>
      </c>
      <c r="D36" s="17" t="s">
        <v>88</v>
      </c>
      <c r="E36" s="13"/>
      <c r="F36" s="14" t="s">
        <v>89</v>
      </c>
      <c r="G36" s="14" t="s">
        <v>90</v>
      </c>
      <c r="H36" s="15">
        <v>100</v>
      </c>
      <c r="I36" s="15">
        <f>(100/5)*4</f>
        <v>80</v>
      </c>
      <c r="J36" s="15">
        <f>(100/5)*5</f>
        <v>100</v>
      </c>
      <c r="K36" s="15">
        <v>100</v>
      </c>
      <c r="L36" s="15">
        <f>(K36/J36)*100</f>
        <v>100</v>
      </c>
      <c r="M36" s="15">
        <v>20</v>
      </c>
      <c r="N36" s="15">
        <v>20</v>
      </c>
      <c r="O36" s="15">
        <f t="shared" si="1"/>
        <v>100</v>
      </c>
      <c r="P36" s="15"/>
    </row>
    <row r="37" spans="1:16" ht="25.5">
      <c r="A37" s="10">
        <v>1</v>
      </c>
      <c r="B37" s="10">
        <v>13</v>
      </c>
      <c r="C37" s="19" t="s">
        <v>8</v>
      </c>
      <c r="D37" s="19" t="s">
        <v>88</v>
      </c>
      <c r="E37" s="19" t="s">
        <v>66</v>
      </c>
      <c r="F37" s="11" t="s">
        <v>126</v>
      </c>
      <c r="G37" s="11" t="s">
        <v>127</v>
      </c>
      <c r="H37" s="12">
        <f>60*5</f>
        <v>300</v>
      </c>
      <c r="I37" s="12">
        <f>(300/5)*4</f>
        <v>240</v>
      </c>
      <c r="J37" s="12">
        <v>60</v>
      </c>
      <c r="K37" s="12">
        <v>60</v>
      </c>
      <c r="L37" s="12">
        <f t="shared" ref="L37" si="16">(K37/J37)*100</f>
        <v>100</v>
      </c>
      <c r="M37" s="12">
        <v>60</v>
      </c>
      <c r="N37" s="12">
        <v>60</v>
      </c>
      <c r="O37" s="12">
        <f t="shared" si="1"/>
        <v>100</v>
      </c>
      <c r="P37" s="12"/>
    </row>
    <row r="38" spans="1:16" s="18" customFormat="1" ht="38.25">
      <c r="A38" s="13">
        <v>1</v>
      </c>
      <c r="B38" s="13">
        <v>13</v>
      </c>
      <c r="C38" s="17" t="s">
        <v>8</v>
      </c>
      <c r="D38" s="17" t="s">
        <v>9</v>
      </c>
      <c r="E38" s="13"/>
      <c r="F38" s="14" t="s">
        <v>91</v>
      </c>
      <c r="G38" s="14" t="s">
        <v>137</v>
      </c>
      <c r="H38" s="15">
        <v>100</v>
      </c>
      <c r="I38" s="15">
        <f>(100/5)*4</f>
        <v>80</v>
      </c>
      <c r="J38" s="15">
        <f>(100/5)*5</f>
        <v>100</v>
      </c>
      <c r="K38" s="15">
        <v>100</v>
      </c>
      <c r="L38" s="15">
        <f>(K38/J38)*100</f>
        <v>100</v>
      </c>
      <c r="M38" s="15">
        <v>20</v>
      </c>
      <c r="N38" s="15">
        <v>20</v>
      </c>
      <c r="O38" s="15">
        <f t="shared" si="1"/>
        <v>100</v>
      </c>
      <c r="P38" s="15"/>
    </row>
    <row r="39" spans="1:16" s="75" customFormat="1" ht="38.25">
      <c r="A39" s="66">
        <v>1</v>
      </c>
      <c r="B39" s="66">
        <v>13</v>
      </c>
      <c r="C39" s="85" t="s">
        <v>8</v>
      </c>
      <c r="D39" s="85" t="s">
        <v>9</v>
      </c>
      <c r="E39" s="85" t="s">
        <v>8</v>
      </c>
      <c r="F39" s="86" t="s">
        <v>136</v>
      </c>
      <c r="G39" s="86" t="s">
        <v>260</v>
      </c>
      <c r="H39" s="59">
        <f>20+25+26+4+5</f>
        <v>80</v>
      </c>
      <c r="I39" s="59">
        <f>20+25+26+4</f>
        <v>75</v>
      </c>
      <c r="J39" s="59">
        <v>7</v>
      </c>
      <c r="K39" s="59">
        <v>7</v>
      </c>
      <c r="L39" s="59">
        <f t="shared" ref="L39" si="17">(K39/J39)*100</f>
        <v>100</v>
      </c>
      <c r="M39" s="59">
        <v>1</v>
      </c>
      <c r="N39" s="59">
        <v>1</v>
      </c>
      <c r="O39" s="59">
        <f t="shared" si="1"/>
        <v>100</v>
      </c>
      <c r="P39" s="59"/>
    </row>
    <row r="40" spans="1:16" s="18" customFormat="1" ht="38.25">
      <c r="A40" s="13">
        <v>1</v>
      </c>
      <c r="B40" s="13">
        <v>13</v>
      </c>
      <c r="C40" s="17" t="s">
        <v>8</v>
      </c>
      <c r="D40" s="17" t="s">
        <v>10</v>
      </c>
      <c r="E40" s="13"/>
      <c r="F40" s="14" t="s">
        <v>92</v>
      </c>
      <c r="G40" s="14" t="s">
        <v>93</v>
      </c>
      <c r="H40" s="15">
        <v>100</v>
      </c>
      <c r="I40" s="15">
        <f>(100/5)*4</f>
        <v>80</v>
      </c>
      <c r="J40" s="15">
        <f>(100/5)*5</f>
        <v>100</v>
      </c>
      <c r="K40" s="15">
        <v>100</v>
      </c>
      <c r="L40" s="15">
        <f>(K40/J40)*100</f>
        <v>100</v>
      </c>
      <c r="M40" s="15">
        <v>20</v>
      </c>
      <c r="N40" s="15">
        <v>20</v>
      </c>
      <c r="O40" s="15">
        <f t="shared" si="1"/>
        <v>100</v>
      </c>
      <c r="P40" s="15"/>
    </row>
    <row r="41" spans="1:16" ht="63.75">
      <c r="A41" s="10">
        <v>1</v>
      </c>
      <c r="B41" s="10">
        <v>13</v>
      </c>
      <c r="C41" s="19" t="s">
        <v>8</v>
      </c>
      <c r="D41" s="19" t="s">
        <v>10</v>
      </c>
      <c r="E41" s="19" t="s">
        <v>66</v>
      </c>
      <c r="F41" s="11" t="s">
        <v>107</v>
      </c>
      <c r="G41" s="11" t="s">
        <v>139</v>
      </c>
      <c r="H41" s="20" t="s">
        <v>206</v>
      </c>
      <c r="I41" s="20" t="s">
        <v>254</v>
      </c>
      <c r="J41" s="20" t="s">
        <v>142</v>
      </c>
      <c r="K41" s="20" t="s">
        <v>142</v>
      </c>
      <c r="L41" s="12">
        <v>100</v>
      </c>
      <c r="M41" s="20" t="s">
        <v>142</v>
      </c>
      <c r="N41" s="20" t="s">
        <v>142</v>
      </c>
      <c r="O41" s="20">
        <f t="shared" si="1"/>
        <v>100</v>
      </c>
      <c r="P41" s="20"/>
    </row>
    <row r="42" spans="1:16" ht="38.25">
      <c r="A42" s="10">
        <v>1</v>
      </c>
      <c r="B42" s="10">
        <v>13</v>
      </c>
      <c r="C42" s="19" t="s">
        <v>8</v>
      </c>
      <c r="D42" s="19" t="s">
        <v>10</v>
      </c>
      <c r="E42" s="19" t="s">
        <v>88</v>
      </c>
      <c r="F42" s="11" t="s">
        <v>119</v>
      </c>
      <c r="G42" s="11" t="s">
        <v>141</v>
      </c>
      <c r="H42" s="12">
        <f>1*5</f>
        <v>5</v>
      </c>
      <c r="I42" s="12">
        <f>(5/5)*4</f>
        <v>4</v>
      </c>
      <c r="J42" s="12">
        <v>1</v>
      </c>
      <c r="K42" s="12">
        <v>1</v>
      </c>
      <c r="L42" s="12">
        <f>(K42/J42)*100</f>
        <v>100</v>
      </c>
      <c r="M42" s="12">
        <v>1</v>
      </c>
      <c r="N42" s="12">
        <v>1</v>
      </c>
      <c r="O42" s="12">
        <f t="shared" si="1"/>
        <v>100</v>
      </c>
      <c r="P42" s="12"/>
    </row>
    <row r="43" spans="1:16" ht="38.25">
      <c r="A43" s="10">
        <v>1</v>
      </c>
      <c r="B43" s="10">
        <v>13</v>
      </c>
      <c r="C43" s="19" t="s">
        <v>8</v>
      </c>
      <c r="D43" s="19" t="s">
        <v>10</v>
      </c>
      <c r="E43" s="19" t="s">
        <v>9</v>
      </c>
      <c r="F43" s="11" t="s">
        <v>94</v>
      </c>
      <c r="G43" s="11" t="s">
        <v>140</v>
      </c>
      <c r="H43" s="12">
        <f>12*5</f>
        <v>60</v>
      </c>
      <c r="I43" s="12">
        <f>(60/5)*4</f>
        <v>48</v>
      </c>
      <c r="J43" s="12">
        <v>12</v>
      </c>
      <c r="K43" s="12">
        <v>12</v>
      </c>
      <c r="L43" s="12">
        <f t="shared" ref="L43" si="18">(K43/J43)*100</f>
        <v>100</v>
      </c>
      <c r="M43" s="12">
        <v>12</v>
      </c>
      <c r="N43" s="12">
        <v>12</v>
      </c>
      <c r="O43" s="12">
        <f t="shared" si="1"/>
        <v>100</v>
      </c>
      <c r="P43" s="12"/>
    </row>
    <row r="44" spans="1:16" s="34" customFormat="1" ht="25.5" customHeight="1">
      <c r="A44" s="30">
        <v>1</v>
      </c>
      <c r="B44" s="31" t="s">
        <v>12</v>
      </c>
      <c r="C44" s="31" t="s">
        <v>8</v>
      </c>
      <c r="D44" s="31">
        <v>29</v>
      </c>
      <c r="E44" s="30"/>
      <c r="F44" s="32" t="s">
        <v>63</v>
      </c>
      <c r="G44" s="32" t="s">
        <v>64</v>
      </c>
      <c r="H44" s="33">
        <v>60</v>
      </c>
      <c r="I44" s="15">
        <f>(60/5)*4</f>
        <v>48</v>
      </c>
      <c r="J44" s="15">
        <f>(60/5)*5</f>
        <v>60</v>
      </c>
      <c r="K44" s="15">
        <v>60</v>
      </c>
      <c r="L44" s="15">
        <f>(K44/J44)*100</f>
        <v>100</v>
      </c>
      <c r="M44" s="15">
        <v>0</v>
      </c>
      <c r="N44" s="15">
        <v>0</v>
      </c>
      <c r="O44" s="15">
        <v>0</v>
      </c>
      <c r="P44" s="33"/>
    </row>
    <row r="45" spans="1:16" s="28" customFormat="1" ht="38.25">
      <c r="A45" s="45">
        <v>1</v>
      </c>
      <c r="B45" s="46" t="s">
        <v>12</v>
      </c>
      <c r="C45" s="46" t="s">
        <v>8</v>
      </c>
      <c r="D45" s="46">
        <v>29</v>
      </c>
      <c r="E45" s="46" t="s">
        <v>66</v>
      </c>
      <c r="F45" s="47" t="s">
        <v>109</v>
      </c>
      <c r="G45" s="26" t="s">
        <v>196</v>
      </c>
      <c r="H45" s="27">
        <v>60</v>
      </c>
      <c r="I45" s="12">
        <f>(60/5)*4</f>
        <v>48</v>
      </c>
      <c r="J45" s="12">
        <f>(60/5)*5</f>
        <v>60</v>
      </c>
      <c r="K45" s="12">
        <v>60</v>
      </c>
      <c r="L45" s="12">
        <f>(K45/J45)*100</f>
        <v>100</v>
      </c>
      <c r="M45" s="12">
        <v>0</v>
      </c>
      <c r="N45" s="12">
        <v>0</v>
      </c>
      <c r="O45" s="12">
        <v>0</v>
      </c>
      <c r="P45" s="43"/>
    </row>
    <row r="46" spans="1:16" s="28" customFormat="1" ht="38.25">
      <c r="A46" s="29">
        <v>1</v>
      </c>
      <c r="B46" s="25" t="s">
        <v>12</v>
      </c>
      <c r="C46" s="25" t="s">
        <v>8</v>
      </c>
      <c r="D46" s="25">
        <v>29</v>
      </c>
      <c r="E46" s="25" t="s">
        <v>8</v>
      </c>
      <c r="F46" s="26" t="s">
        <v>110</v>
      </c>
      <c r="G46" s="26" t="s">
        <v>197</v>
      </c>
      <c r="H46" s="27">
        <v>60</v>
      </c>
      <c r="I46" s="12">
        <f>(60/5)*4</f>
        <v>48</v>
      </c>
      <c r="J46" s="12">
        <f>(60/5)*5</f>
        <v>60</v>
      </c>
      <c r="K46" s="12">
        <v>60</v>
      </c>
      <c r="L46" s="12">
        <f>(K46/J46)*100</f>
        <v>100</v>
      </c>
      <c r="M46" s="12">
        <v>0</v>
      </c>
      <c r="N46" s="12">
        <v>0</v>
      </c>
      <c r="O46" s="12">
        <v>0</v>
      </c>
      <c r="P46" s="44"/>
    </row>
    <row r="47" spans="1:16" s="28" customFormat="1" ht="25.5" customHeight="1">
      <c r="A47" s="45">
        <v>1</v>
      </c>
      <c r="B47" s="46" t="s">
        <v>12</v>
      </c>
      <c r="C47" s="46" t="s">
        <v>8</v>
      </c>
      <c r="D47" s="46">
        <v>29</v>
      </c>
      <c r="E47" s="46" t="s">
        <v>8</v>
      </c>
      <c r="F47" s="47" t="s">
        <v>123</v>
      </c>
      <c r="G47" s="26" t="s">
        <v>210</v>
      </c>
      <c r="H47" s="27">
        <v>60</v>
      </c>
      <c r="I47" s="12">
        <f>(60/5)*4</f>
        <v>48</v>
      </c>
      <c r="J47" s="12">
        <f>(60/5)*5</f>
        <v>60</v>
      </c>
      <c r="K47" s="12">
        <v>60</v>
      </c>
      <c r="L47" s="12">
        <f>(K47/J47)*100</f>
        <v>100</v>
      </c>
      <c r="M47" s="12">
        <v>0</v>
      </c>
      <c r="N47" s="12">
        <v>0</v>
      </c>
      <c r="O47" s="12">
        <v>0</v>
      </c>
      <c r="P47" s="44"/>
    </row>
    <row r="48" spans="1:16" s="34" customFormat="1" ht="25.5">
      <c r="A48" s="30">
        <v>1</v>
      </c>
      <c r="B48" s="31" t="s">
        <v>12</v>
      </c>
      <c r="C48" s="31" t="s">
        <v>8</v>
      </c>
      <c r="D48" s="31">
        <v>34</v>
      </c>
      <c r="E48" s="30"/>
      <c r="F48" s="32" t="s">
        <v>58</v>
      </c>
      <c r="G48" s="32" t="s">
        <v>59</v>
      </c>
      <c r="H48" s="33">
        <v>80</v>
      </c>
      <c r="I48" s="15">
        <f>(80/5)*4</f>
        <v>64</v>
      </c>
      <c r="J48" s="15">
        <f>(80/5)*5</f>
        <v>80</v>
      </c>
      <c r="K48" s="15">
        <v>80</v>
      </c>
      <c r="L48" s="15">
        <f>(K48/J48)*100</f>
        <v>100</v>
      </c>
      <c r="M48" s="15">
        <v>0</v>
      </c>
      <c r="N48" s="15">
        <v>0</v>
      </c>
      <c r="O48" s="15">
        <v>0</v>
      </c>
      <c r="P48" s="33"/>
    </row>
    <row r="49" spans="1:16" s="103" customFormat="1" ht="38.25" customHeight="1">
      <c r="A49" s="62">
        <v>1</v>
      </c>
      <c r="B49" s="63" t="s">
        <v>12</v>
      </c>
      <c r="C49" s="63" t="s">
        <v>8</v>
      </c>
      <c r="D49" s="63">
        <v>34</v>
      </c>
      <c r="E49" s="63" t="s">
        <v>66</v>
      </c>
      <c r="F49" s="64" t="s">
        <v>60</v>
      </c>
      <c r="G49" s="65" t="s">
        <v>212</v>
      </c>
      <c r="H49" s="12">
        <v>14</v>
      </c>
      <c r="I49" s="12">
        <f>0+6+5+7</f>
        <v>18</v>
      </c>
      <c r="J49" s="12">
        <v>10</v>
      </c>
      <c r="K49" s="12">
        <v>10</v>
      </c>
      <c r="L49" s="12">
        <v>0</v>
      </c>
      <c r="M49" s="12">
        <v>0</v>
      </c>
      <c r="N49" s="12">
        <v>0</v>
      </c>
      <c r="O49" s="12">
        <v>0</v>
      </c>
      <c r="P49" s="61"/>
    </row>
    <row r="50" spans="1:16" s="28" customFormat="1" ht="38.25">
      <c r="A50" s="29">
        <v>1</v>
      </c>
      <c r="B50" s="25" t="s">
        <v>12</v>
      </c>
      <c r="C50" s="25" t="s">
        <v>8</v>
      </c>
      <c r="D50" s="25">
        <v>34</v>
      </c>
      <c r="E50" s="25" t="s">
        <v>8</v>
      </c>
      <c r="F50" s="26" t="s">
        <v>61</v>
      </c>
      <c r="G50" s="26" t="s">
        <v>190</v>
      </c>
      <c r="H50" s="27">
        <v>80</v>
      </c>
      <c r="I50" s="12">
        <f>(80/5)*4</f>
        <v>64</v>
      </c>
      <c r="J50" s="12">
        <f>(80/5)*5</f>
        <v>80</v>
      </c>
      <c r="K50" s="12">
        <v>80</v>
      </c>
      <c r="L50" s="12">
        <f>(K50/J50)*100</f>
        <v>100</v>
      </c>
      <c r="M50" s="12">
        <v>0</v>
      </c>
      <c r="N50" s="12">
        <v>0</v>
      </c>
      <c r="O50" s="12">
        <v>0</v>
      </c>
      <c r="P50" s="27"/>
    </row>
    <row r="51" spans="1:16" s="28" customFormat="1" ht="51">
      <c r="A51" s="29">
        <v>1</v>
      </c>
      <c r="B51" s="25" t="s">
        <v>12</v>
      </c>
      <c r="C51" s="25" t="s">
        <v>8</v>
      </c>
      <c r="D51" s="25">
        <v>34</v>
      </c>
      <c r="E51" s="25" t="s">
        <v>88</v>
      </c>
      <c r="F51" s="26" t="s">
        <v>62</v>
      </c>
      <c r="G51" s="26" t="s">
        <v>211</v>
      </c>
      <c r="H51" s="27">
        <v>80</v>
      </c>
      <c r="I51" s="12">
        <f>(80/5)*4</f>
        <v>64</v>
      </c>
      <c r="J51" s="12">
        <f>(80/5)*5</f>
        <v>80</v>
      </c>
      <c r="K51" s="12">
        <v>80</v>
      </c>
      <c r="L51" s="12">
        <f>(K51/J51)*100</f>
        <v>100</v>
      </c>
      <c r="M51" s="12">
        <v>0</v>
      </c>
      <c r="N51" s="12">
        <v>0</v>
      </c>
      <c r="O51" s="12">
        <v>0</v>
      </c>
      <c r="P51" s="44"/>
    </row>
    <row r="52" spans="1:16" s="18" customFormat="1" ht="25.5">
      <c r="A52" s="21">
        <v>1</v>
      </c>
      <c r="B52" s="22" t="s">
        <v>12</v>
      </c>
      <c r="C52" s="22" t="s">
        <v>8</v>
      </c>
      <c r="D52" s="22">
        <v>35</v>
      </c>
      <c r="E52" s="21"/>
      <c r="F52" s="14" t="s">
        <v>42</v>
      </c>
      <c r="G52" s="14" t="s">
        <v>50</v>
      </c>
      <c r="H52" s="33">
        <v>60</v>
      </c>
      <c r="I52" s="15">
        <f>(60/5)*4</f>
        <v>48</v>
      </c>
      <c r="J52" s="15">
        <f>(60/5)*5</f>
        <v>60</v>
      </c>
      <c r="K52" s="15">
        <v>60</v>
      </c>
      <c r="L52" s="15">
        <f>(K52/J52)*100</f>
        <v>100</v>
      </c>
      <c r="M52" s="15">
        <v>0</v>
      </c>
      <c r="N52" s="15">
        <v>0</v>
      </c>
      <c r="O52" s="15">
        <v>0</v>
      </c>
      <c r="P52" s="15"/>
    </row>
    <row r="53" spans="1:16" s="28" customFormat="1" ht="38.25" customHeight="1">
      <c r="A53" s="51">
        <v>1</v>
      </c>
      <c r="B53" s="52" t="s">
        <v>12</v>
      </c>
      <c r="C53" s="52" t="s">
        <v>8</v>
      </c>
      <c r="D53" s="52">
        <v>35</v>
      </c>
      <c r="E53" s="46" t="s">
        <v>66</v>
      </c>
      <c r="F53" s="47" t="s">
        <v>43</v>
      </c>
      <c r="G53" s="26" t="s">
        <v>215</v>
      </c>
      <c r="H53" s="12">
        <v>2</v>
      </c>
      <c r="I53" s="12">
        <v>2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27"/>
    </row>
    <row r="54" spans="1:16" s="28" customFormat="1" ht="51">
      <c r="A54" s="53"/>
      <c r="B54" s="53"/>
      <c r="C54" s="54"/>
      <c r="D54" s="54"/>
      <c r="E54" s="54"/>
      <c r="F54" s="55"/>
      <c r="G54" s="26" t="s">
        <v>148</v>
      </c>
      <c r="H54" s="12">
        <v>1</v>
      </c>
      <c r="I54" s="12">
        <v>1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27"/>
    </row>
    <row r="55" spans="1:16" s="28" customFormat="1" ht="38.25">
      <c r="A55" s="53"/>
      <c r="B55" s="53"/>
      <c r="C55" s="54"/>
      <c r="D55" s="54"/>
      <c r="E55" s="54"/>
      <c r="F55" s="55"/>
      <c r="G55" s="26" t="s">
        <v>216</v>
      </c>
      <c r="H55" s="12">
        <v>4</v>
      </c>
      <c r="I55" s="12">
        <v>2</v>
      </c>
      <c r="J55" s="12">
        <v>1</v>
      </c>
      <c r="K55" s="12">
        <v>1</v>
      </c>
      <c r="L55" s="12">
        <f>(K55/J55)*100</f>
        <v>100</v>
      </c>
      <c r="M55" s="12">
        <v>0</v>
      </c>
      <c r="N55" s="12">
        <v>0</v>
      </c>
      <c r="O55" s="12">
        <v>0</v>
      </c>
      <c r="P55" s="27"/>
    </row>
    <row r="56" spans="1:16" s="103" customFormat="1" ht="25.5">
      <c r="A56" s="89">
        <v>1</v>
      </c>
      <c r="B56" s="90" t="s">
        <v>12</v>
      </c>
      <c r="C56" s="90" t="s">
        <v>8</v>
      </c>
      <c r="D56" s="90">
        <v>35</v>
      </c>
      <c r="E56" s="91" t="s">
        <v>8</v>
      </c>
      <c r="F56" s="65" t="s">
        <v>46</v>
      </c>
      <c r="G56" s="65" t="s">
        <v>217</v>
      </c>
      <c r="H56" s="60" t="s">
        <v>213</v>
      </c>
      <c r="I56" s="60" t="s">
        <v>255</v>
      </c>
      <c r="J56" s="60" t="s">
        <v>166</v>
      </c>
      <c r="K56" s="60" t="s">
        <v>166</v>
      </c>
      <c r="L56" s="59">
        <f t="shared" ref="L56" si="19">(K56/J56)*100</f>
        <v>100</v>
      </c>
      <c r="M56" s="60">
        <v>0</v>
      </c>
      <c r="N56" s="60">
        <v>0</v>
      </c>
      <c r="O56" s="59">
        <v>0</v>
      </c>
      <c r="P56" s="61"/>
    </row>
    <row r="57" spans="1:16" s="28" customFormat="1" ht="38.25">
      <c r="A57" s="23">
        <v>1</v>
      </c>
      <c r="B57" s="24" t="s">
        <v>12</v>
      </c>
      <c r="C57" s="24" t="s">
        <v>8</v>
      </c>
      <c r="D57" s="24">
        <v>35</v>
      </c>
      <c r="E57" s="25" t="s">
        <v>88</v>
      </c>
      <c r="F57" s="26" t="s">
        <v>48</v>
      </c>
      <c r="G57" s="26" t="s">
        <v>218</v>
      </c>
      <c r="H57" s="60" t="s">
        <v>214</v>
      </c>
      <c r="I57" s="60" t="s">
        <v>256</v>
      </c>
      <c r="J57" s="60" t="s">
        <v>165</v>
      </c>
      <c r="K57" s="60" t="s">
        <v>165</v>
      </c>
      <c r="L57" s="59">
        <f t="shared" ref="L57" si="20">(K57/J57)*100</f>
        <v>100</v>
      </c>
      <c r="M57" s="60">
        <v>0</v>
      </c>
      <c r="N57" s="60">
        <v>0</v>
      </c>
      <c r="O57" s="59">
        <v>0</v>
      </c>
      <c r="P57" s="27"/>
    </row>
    <row r="58" spans="1:16" s="28" customFormat="1" ht="38.25">
      <c r="A58" s="23">
        <v>1</v>
      </c>
      <c r="B58" s="24" t="s">
        <v>12</v>
      </c>
      <c r="C58" s="24" t="s">
        <v>8</v>
      </c>
      <c r="D58" s="24">
        <v>35</v>
      </c>
      <c r="E58" s="25" t="s">
        <v>111</v>
      </c>
      <c r="F58" s="26" t="s">
        <v>6</v>
      </c>
      <c r="G58" s="26" t="s">
        <v>174</v>
      </c>
      <c r="H58" s="12">
        <f>2+2+2+3+3</f>
        <v>12</v>
      </c>
      <c r="I58" s="12">
        <f>2+2+2+3</f>
        <v>9</v>
      </c>
      <c r="J58" s="12">
        <v>3</v>
      </c>
      <c r="K58" s="12">
        <v>3</v>
      </c>
      <c r="L58" s="12">
        <f t="shared" ref="L58:L64" si="21">(K58/J58)*100</f>
        <v>100</v>
      </c>
      <c r="M58" s="12">
        <v>0</v>
      </c>
      <c r="N58" s="12">
        <v>0</v>
      </c>
      <c r="O58" s="12">
        <v>0</v>
      </c>
      <c r="P58" s="27"/>
    </row>
    <row r="59" spans="1:16" s="28" customFormat="1" ht="25.5">
      <c r="A59" s="23">
        <v>1</v>
      </c>
      <c r="B59" s="24" t="s">
        <v>12</v>
      </c>
      <c r="C59" s="24" t="s">
        <v>8</v>
      </c>
      <c r="D59" s="24">
        <v>35</v>
      </c>
      <c r="E59" s="25" t="s">
        <v>9</v>
      </c>
      <c r="F59" s="26" t="s">
        <v>44</v>
      </c>
      <c r="G59" s="26" t="s">
        <v>175</v>
      </c>
      <c r="H59" s="12">
        <v>22</v>
      </c>
      <c r="I59" s="12">
        <v>0</v>
      </c>
      <c r="J59" s="12">
        <v>11</v>
      </c>
      <c r="K59" s="12">
        <v>0</v>
      </c>
      <c r="L59" s="12">
        <f t="shared" si="21"/>
        <v>0</v>
      </c>
      <c r="M59" s="12">
        <v>0</v>
      </c>
      <c r="N59" s="12">
        <v>0</v>
      </c>
      <c r="O59" s="12">
        <v>0</v>
      </c>
      <c r="P59" s="27"/>
    </row>
    <row r="60" spans="1:16" s="28" customFormat="1" ht="25.5">
      <c r="A60" s="23">
        <v>1</v>
      </c>
      <c r="B60" s="24" t="s">
        <v>12</v>
      </c>
      <c r="C60" s="24" t="s">
        <v>8</v>
      </c>
      <c r="D60" s="24">
        <v>35</v>
      </c>
      <c r="E60" s="25" t="s">
        <v>10</v>
      </c>
      <c r="F60" s="26" t="s">
        <v>49</v>
      </c>
      <c r="G60" s="26" t="s">
        <v>219</v>
      </c>
      <c r="H60" s="12">
        <f>100+100+120+120+140</f>
        <v>580</v>
      </c>
      <c r="I60" s="12">
        <f>100+100+120+150</f>
        <v>470</v>
      </c>
      <c r="J60" s="12">
        <v>150</v>
      </c>
      <c r="K60" s="12">
        <v>150</v>
      </c>
      <c r="L60" s="12">
        <f t="shared" si="21"/>
        <v>100</v>
      </c>
      <c r="M60" s="12">
        <v>0</v>
      </c>
      <c r="N60" s="12">
        <v>0</v>
      </c>
      <c r="O60" s="12">
        <v>0</v>
      </c>
      <c r="P60" s="27"/>
    </row>
    <row r="61" spans="1:16" s="34" customFormat="1" ht="25.5">
      <c r="A61" s="30">
        <v>1</v>
      </c>
      <c r="B61" s="31" t="s">
        <v>12</v>
      </c>
      <c r="C61" s="31" t="s">
        <v>8</v>
      </c>
      <c r="D61" s="31">
        <v>36</v>
      </c>
      <c r="E61" s="30"/>
      <c r="F61" s="32" t="s">
        <v>57</v>
      </c>
      <c r="G61" s="32" t="s">
        <v>51</v>
      </c>
      <c r="H61" s="33">
        <v>60</v>
      </c>
      <c r="I61" s="15">
        <f>(60/5)*4</f>
        <v>48</v>
      </c>
      <c r="J61" s="15">
        <f>(60/5)*5</f>
        <v>60</v>
      </c>
      <c r="K61" s="15">
        <v>60</v>
      </c>
      <c r="L61" s="15">
        <f t="shared" si="21"/>
        <v>100</v>
      </c>
      <c r="M61" s="15">
        <v>0</v>
      </c>
      <c r="N61" s="15">
        <v>0</v>
      </c>
      <c r="O61" s="15">
        <v>0</v>
      </c>
      <c r="P61" s="33"/>
    </row>
    <row r="62" spans="1:16" s="28" customFormat="1" ht="38.25">
      <c r="A62" s="45">
        <v>1</v>
      </c>
      <c r="B62" s="46" t="s">
        <v>12</v>
      </c>
      <c r="C62" s="46" t="s">
        <v>8</v>
      </c>
      <c r="D62" s="46">
        <v>36</v>
      </c>
      <c r="E62" s="46" t="s">
        <v>66</v>
      </c>
      <c r="F62" s="47" t="s">
        <v>52</v>
      </c>
      <c r="G62" s="26" t="s">
        <v>221</v>
      </c>
      <c r="H62" s="12">
        <f>1*5</f>
        <v>5</v>
      </c>
      <c r="I62" s="12">
        <f>(5/5)*4</f>
        <v>4</v>
      </c>
      <c r="J62" s="12">
        <v>1</v>
      </c>
      <c r="K62" s="12">
        <v>1</v>
      </c>
      <c r="L62" s="12">
        <f t="shared" si="21"/>
        <v>100</v>
      </c>
      <c r="M62" s="12">
        <v>0</v>
      </c>
      <c r="N62" s="12">
        <v>0</v>
      </c>
      <c r="O62" s="12">
        <v>0</v>
      </c>
      <c r="P62" s="27"/>
    </row>
    <row r="63" spans="1:16" s="28" customFormat="1" ht="25.5">
      <c r="A63" s="48"/>
      <c r="B63" s="48"/>
      <c r="C63" s="49"/>
      <c r="D63" s="49"/>
      <c r="E63" s="49"/>
      <c r="F63" s="50"/>
      <c r="G63" s="26" t="s">
        <v>222</v>
      </c>
      <c r="H63" s="12">
        <f>100+100+120+120+140</f>
        <v>580</v>
      </c>
      <c r="I63" s="12">
        <f>100+100+120+100</f>
        <v>420</v>
      </c>
      <c r="J63" s="12">
        <v>100</v>
      </c>
      <c r="K63" s="12">
        <v>100</v>
      </c>
      <c r="L63" s="12">
        <f t="shared" si="21"/>
        <v>100</v>
      </c>
      <c r="M63" s="12">
        <v>0</v>
      </c>
      <c r="N63" s="12">
        <v>0</v>
      </c>
      <c r="O63" s="12">
        <v>0</v>
      </c>
      <c r="P63" s="44"/>
    </row>
    <row r="64" spans="1:16" s="28" customFormat="1" ht="38.25">
      <c r="A64" s="29">
        <v>1</v>
      </c>
      <c r="B64" s="25" t="s">
        <v>12</v>
      </c>
      <c r="C64" s="25" t="s">
        <v>8</v>
      </c>
      <c r="D64" s="25">
        <v>36</v>
      </c>
      <c r="E64" s="25" t="s">
        <v>8</v>
      </c>
      <c r="F64" s="26" t="s">
        <v>53</v>
      </c>
      <c r="G64" s="26" t="s">
        <v>223</v>
      </c>
      <c r="H64" s="12">
        <f>1*5</f>
        <v>5</v>
      </c>
      <c r="I64" s="12">
        <f>(5/5)*4</f>
        <v>4</v>
      </c>
      <c r="J64" s="12">
        <v>1</v>
      </c>
      <c r="K64" s="12">
        <v>1</v>
      </c>
      <c r="L64" s="12">
        <f t="shared" si="21"/>
        <v>100</v>
      </c>
      <c r="M64" s="12">
        <v>0</v>
      </c>
      <c r="N64" s="12">
        <v>0</v>
      </c>
      <c r="O64" s="12">
        <v>0</v>
      </c>
      <c r="P64" s="27"/>
    </row>
    <row r="65" spans="1:16" s="103" customFormat="1" ht="38.25">
      <c r="A65" s="92">
        <v>1</v>
      </c>
      <c r="B65" s="91" t="s">
        <v>12</v>
      </c>
      <c r="C65" s="91" t="s">
        <v>8</v>
      </c>
      <c r="D65" s="91">
        <v>36</v>
      </c>
      <c r="E65" s="91" t="s">
        <v>88</v>
      </c>
      <c r="F65" s="65" t="s">
        <v>54</v>
      </c>
      <c r="G65" s="65" t="s">
        <v>224</v>
      </c>
      <c r="H65" s="61">
        <f>1+2+2+2+2</f>
        <v>9</v>
      </c>
      <c r="I65" s="61">
        <f>1+2+2+3</f>
        <v>8</v>
      </c>
      <c r="J65" s="61">
        <v>7</v>
      </c>
      <c r="K65" s="61">
        <v>7</v>
      </c>
      <c r="L65" s="59">
        <f t="shared" ref="L65" si="22">(K65/J65)*100</f>
        <v>100</v>
      </c>
      <c r="M65" s="61">
        <v>0</v>
      </c>
      <c r="N65" s="59">
        <v>0</v>
      </c>
      <c r="O65" s="59">
        <v>0</v>
      </c>
      <c r="P65" s="61"/>
    </row>
    <row r="66" spans="1:16" s="28" customFormat="1" ht="25.5">
      <c r="A66" s="29">
        <v>1</v>
      </c>
      <c r="B66" s="25" t="s">
        <v>12</v>
      </c>
      <c r="C66" s="25" t="s">
        <v>8</v>
      </c>
      <c r="D66" s="25">
        <v>36</v>
      </c>
      <c r="E66" s="25" t="s">
        <v>111</v>
      </c>
      <c r="F66" s="26" t="s">
        <v>55</v>
      </c>
      <c r="G66" s="26" t="s">
        <v>184</v>
      </c>
      <c r="H66" s="61">
        <f>20+20+40+40+50</f>
        <v>170</v>
      </c>
      <c r="I66" s="61">
        <f>20+20+40+41</f>
        <v>121</v>
      </c>
      <c r="J66" s="61">
        <v>50</v>
      </c>
      <c r="K66" s="61">
        <v>50</v>
      </c>
      <c r="L66" s="59">
        <f t="shared" ref="L66" si="23">(K66/J66)*100</f>
        <v>100</v>
      </c>
      <c r="M66" s="61">
        <v>0</v>
      </c>
      <c r="N66" s="59">
        <v>0</v>
      </c>
      <c r="O66" s="59">
        <v>0</v>
      </c>
      <c r="P66" s="27"/>
    </row>
    <row r="67" spans="1:16" s="28" customFormat="1" ht="25.5">
      <c r="A67" s="29">
        <v>1</v>
      </c>
      <c r="B67" s="25" t="s">
        <v>12</v>
      </c>
      <c r="C67" s="25" t="s">
        <v>8</v>
      </c>
      <c r="D67" s="25">
        <v>36</v>
      </c>
      <c r="E67" s="25" t="s">
        <v>10</v>
      </c>
      <c r="F67" s="26" t="s">
        <v>121</v>
      </c>
      <c r="G67" s="26" t="s">
        <v>185</v>
      </c>
      <c r="H67" s="61">
        <f>60+60+80+80+100</f>
        <v>380</v>
      </c>
      <c r="I67" s="61">
        <f>60+60+80+75</f>
        <v>275</v>
      </c>
      <c r="J67" s="61">
        <v>100</v>
      </c>
      <c r="K67" s="61">
        <v>100</v>
      </c>
      <c r="L67" s="59">
        <f t="shared" ref="L67:L68" si="24">(K67/J67)*100</f>
        <v>100</v>
      </c>
      <c r="M67" s="61">
        <v>0</v>
      </c>
      <c r="N67" s="59">
        <v>0</v>
      </c>
      <c r="O67" s="59">
        <v>0</v>
      </c>
      <c r="P67" s="27"/>
    </row>
    <row r="68" spans="1:16" s="28" customFormat="1" ht="38.25">
      <c r="A68" s="29">
        <v>1</v>
      </c>
      <c r="B68" s="25" t="s">
        <v>12</v>
      </c>
      <c r="C68" s="25" t="s">
        <v>8</v>
      </c>
      <c r="D68" s="25">
        <v>36</v>
      </c>
      <c r="E68" s="25" t="s">
        <v>11</v>
      </c>
      <c r="F68" s="26" t="s">
        <v>56</v>
      </c>
      <c r="G68" s="26" t="s">
        <v>225</v>
      </c>
      <c r="H68" s="61">
        <f>0+2+2+4+4</f>
        <v>12</v>
      </c>
      <c r="I68" s="61">
        <f>0+2+2+4</f>
        <v>8</v>
      </c>
      <c r="J68" s="61">
        <v>4</v>
      </c>
      <c r="K68" s="61">
        <v>4</v>
      </c>
      <c r="L68" s="59">
        <f t="shared" si="24"/>
        <v>100</v>
      </c>
      <c r="M68" s="61">
        <v>0</v>
      </c>
      <c r="N68" s="59">
        <v>0</v>
      </c>
      <c r="O68" s="59">
        <v>0</v>
      </c>
      <c r="P68" s="27"/>
    </row>
    <row r="69" spans="1:16" s="18" customFormat="1" ht="102">
      <c r="A69" s="21">
        <v>1</v>
      </c>
      <c r="B69" s="22" t="s">
        <v>12</v>
      </c>
      <c r="C69" s="22" t="s">
        <v>8</v>
      </c>
      <c r="D69" s="22">
        <v>35</v>
      </c>
      <c r="E69" s="21"/>
      <c r="F69" s="14" t="s">
        <v>42</v>
      </c>
      <c r="G69" s="14" t="s">
        <v>50</v>
      </c>
      <c r="H69" s="33">
        <v>0</v>
      </c>
      <c r="I69" s="15">
        <v>0</v>
      </c>
      <c r="J69" s="15">
        <v>0</v>
      </c>
      <c r="K69" s="15">
        <v>0</v>
      </c>
      <c r="L69" s="15">
        <v>0</v>
      </c>
      <c r="M69" s="116">
        <f>(80/5)*1</f>
        <v>16</v>
      </c>
      <c r="N69" s="15">
        <v>16</v>
      </c>
      <c r="O69" s="15">
        <f t="shared" si="1"/>
        <v>100</v>
      </c>
      <c r="P69" s="148" t="s">
        <v>300</v>
      </c>
    </row>
    <row r="70" spans="1:16" s="28" customFormat="1" ht="51">
      <c r="A70" s="51">
        <v>1</v>
      </c>
      <c r="B70" s="52" t="s">
        <v>12</v>
      </c>
      <c r="C70" s="52" t="s">
        <v>8</v>
      </c>
      <c r="D70" s="52">
        <v>35</v>
      </c>
      <c r="E70" s="46" t="s">
        <v>66</v>
      </c>
      <c r="F70" s="47" t="s">
        <v>43</v>
      </c>
      <c r="G70" s="26" t="s">
        <v>207</v>
      </c>
      <c r="H70" s="12">
        <v>0</v>
      </c>
      <c r="I70" s="12">
        <v>0</v>
      </c>
      <c r="J70" s="12">
        <v>0</v>
      </c>
      <c r="K70" s="12">
        <v>0</v>
      </c>
      <c r="L70" s="12">
        <v>0</v>
      </c>
      <c r="M70" s="122">
        <v>2</v>
      </c>
      <c r="N70" s="12">
        <v>2</v>
      </c>
      <c r="O70" s="12">
        <f t="shared" si="1"/>
        <v>100</v>
      </c>
      <c r="P70" s="27"/>
    </row>
    <row r="71" spans="1:16" s="28" customFormat="1" ht="38.25">
      <c r="A71" s="29">
        <v>1</v>
      </c>
      <c r="B71" s="25" t="s">
        <v>12</v>
      </c>
      <c r="C71" s="25" t="s">
        <v>8</v>
      </c>
      <c r="D71" s="25">
        <v>35</v>
      </c>
      <c r="E71" s="25" t="s">
        <v>8</v>
      </c>
      <c r="F71" s="26" t="s">
        <v>172</v>
      </c>
      <c r="G71" s="26" t="s">
        <v>261</v>
      </c>
      <c r="H71" s="12">
        <v>0</v>
      </c>
      <c r="I71" s="12">
        <v>0</v>
      </c>
      <c r="J71" s="12">
        <v>0</v>
      </c>
      <c r="K71" s="12">
        <v>0</v>
      </c>
      <c r="L71" s="12">
        <v>0</v>
      </c>
      <c r="M71" s="122">
        <v>1</v>
      </c>
      <c r="N71" s="12">
        <v>1</v>
      </c>
      <c r="O71" s="12">
        <f t="shared" si="1"/>
        <v>100</v>
      </c>
      <c r="P71" s="27"/>
    </row>
    <row r="72" spans="1:16" s="28" customFormat="1" ht="51">
      <c r="A72" s="45">
        <v>1</v>
      </c>
      <c r="B72" s="46" t="s">
        <v>12</v>
      </c>
      <c r="C72" s="46" t="s">
        <v>8</v>
      </c>
      <c r="D72" s="46">
        <v>35</v>
      </c>
      <c r="E72" s="46" t="s">
        <v>88</v>
      </c>
      <c r="F72" s="47" t="s">
        <v>173</v>
      </c>
      <c r="G72" s="26" t="s">
        <v>262</v>
      </c>
      <c r="H72" s="12">
        <v>0</v>
      </c>
      <c r="I72" s="12">
        <v>0</v>
      </c>
      <c r="J72" s="12">
        <v>0</v>
      </c>
      <c r="K72" s="12">
        <v>0</v>
      </c>
      <c r="L72" s="12">
        <v>0</v>
      </c>
      <c r="M72" s="124">
        <v>2</v>
      </c>
      <c r="N72" s="12">
        <v>2</v>
      </c>
      <c r="O72" s="12">
        <f t="shared" si="1"/>
        <v>100</v>
      </c>
      <c r="P72" s="27"/>
    </row>
    <row r="73" spans="1:16" s="28" customFormat="1" ht="38.25">
      <c r="A73" s="23">
        <v>1</v>
      </c>
      <c r="B73" s="24" t="s">
        <v>12</v>
      </c>
      <c r="C73" s="24" t="s">
        <v>8</v>
      </c>
      <c r="D73" s="24">
        <v>35</v>
      </c>
      <c r="E73" s="25" t="s">
        <v>111</v>
      </c>
      <c r="F73" s="26" t="s">
        <v>6</v>
      </c>
      <c r="G73" s="26" t="s">
        <v>174</v>
      </c>
      <c r="H73" s="12">
        <v>0</v>
      </c>
      <c r="I73" s="12">
        <v>0</v>
      </c>
      <c r="J73" s="12">
        <v>0</v>
      </c>
      <c r="K73" s="12">
        <v>0</v>
      </c>
      <c r="L73" s="12">
        <v>0</v>
      </c>
      <c r="M73" s="122">
        <v>3</v>
      </c>
      <c r="N73" s="12">
        <v>3</v>
      </c>
      <c r="O73" s="12">
        <f t="shared" si="1"/>
        <v>100</v>
      </c>
      <c r="P73" s="27"/>
    </row>
    <row r="74" spans="1:16" s="34" customFormat="1" ht="25.5">
      <c r="A74" s="30">
        <v>1</v>
      </c>
      <c r="B74" s="31" t="s">
        <v>12</v>
      </c>
      <c r="C74" s="31" t="s">
        <v>8</v>
      </c>
      <c r="D74" s="31">
        <v>36</v>
      </c>
      <c r="E74" s="30"/>
      <c r="F74" s="32" t="s">
        <v>57</v>
      </c>
      <c r="G74" s="32" t="s">
        <v>51</v>
      </c>
      <c r="H74" s="33">
        <v>0</v>
      </c>
      <c r="I74" s="15">
        <v>0</v>
      </c>
      <c r="J74" s="15">
        <v>0</v>
      </c>
      <c r="K74" s="15">
        <v>0</v>
      </c>
      <c r="L74" s="15">
        <v>0</v>
      </c>
      <c r="M74" s="81">
        <f>(100/5)*1</f>
        <v>20</v>
      </c>
      <c r="N74" s="15">
        <v>20</v>
      </c>
      <c r="O74" s="15">
        <f t="shared" si="1"/>
        <v>100</v>
      </c>
      <c r="P74" s="33"/>
    </row>
    <row r="75" spans="1:16" s="28" customFormat="1" ht="25.5" customHeight="1">
      <c r="A75" s="23">
        <v>1</v>
      </c>
      <c r="B75" s="24" t="s">
        <v>12</v>
      </c>
      <c r="C75" s="24" t="s">
        <v>8</v>
      </c>
      <c r="D75" s="24">
        <v>36</v>
      </c>
      <c r="E75" s="25" t="s">
        <v>66</v>
      </c>
      <c r="F75" s="26" t="s">
        <v>44</v>
      </c>
      <c r="G75" s="26" t="s">
        <v>263</v>
      </c>
      <c r="H75" s="12">
        <v>0</v>
      </c>
      <c r="I75" s="12">
        <v>0</v>
      </c>
      <c r="J75" s="12">
        <v>0</v>
      </c>
      <c r="K75" s="12">
        <v>0</v>
      </c>
      <c r="L75" s="12">
        <v>0</v>
      </c>
      <c r="M75" s="124">
        <v>11</v>
      </c>
      <c r="N75" s="12">
        <v>11</v>
      </c>
      <c r="O75" s="12">
        <f t="shared" si="1"/>
        <v>100</v>
      </c>
      <c r="P75" s="27"/>
    </row>
    <row r="76" spans="1:16" s="103" customFormat="1" ht="25.5">
      <c r="A76" s="89">
        <v>1</v>
      </c>
      <c r="B76" s="90" t="s">
        <v>12</v>
      </c>
      <c r="C76" s="90" t="s">
        <v>8</v>
      </c>
      <c r="D76" s="90">
        <v>36</v>
      </c>
      <c r="E76" s="91" t="s">
        <v>8</v>
      </c>
      <c r="F76" s="65" t="s">
        <v>46</v>
      </c>
      <c r="G76" s="65" t="s">
        <v>176</v>
      </c>
      <c r="H76" s="60">
        <v>0</v>
      </c>
      <c r="I76" s="60">
        <v>0</v>
      </c>
      <c r="J76" s="60">
        <v>0</v>
      </c>
      <c r="K76" s="60">
        <v>0</v>
      </c>
      <c r="L76" s="59">
        <v>0</v>
      </c>
      <c r="M76" s="122">
        <v>20</v>
      </c>
      <c r="N76" s="60">
        <v>20</v>
      </c>
      <c r="O76" s="12">
        <f t="shared" si="1"/>
        <v>100</v>
      </c>
      <c r="P76" s="61"/>
    </row>
    <row r="77" spans="1:16" s="28" customFormat="1" ht="51">
      <c r="A77" s="23">
        <v>1</v>
      </c>
      <c r="B77" s="24" t="s">
        <v>12</v>
      </c>
      <c r="C77" s="24" t="s">
        <v>8</v>
      </c>
      <c r="D77" s="24">
        <v>36</v>
      </c>
      <c r="E77" s="25" t="s">
        <v>88</v>
      </c>
      <c r="F77" s="26" t="s">
        <v>48</v>
      </c>
      <c r="G77" s="26" t="s">
        <v>264</v>
      </c>
      <c r="H77" s="60">
        <v>0</v>
      </c>
      <c r="I77" s="60">
        <v>0</v>
      </c>
      <c r="J77" s="60">
        <v>0</v>
      </c>
      <c r="K77" s="60">
        <v>0</v>
      </c>
      <c r="L77" s="59">
        <v>0</v>
      </c>
      <c r="M77" s="122">
        <v>15</v>
      </c>
      <c r="N77" s="60">
        <v>15</v>
      </c>
      <c r="O77" s="12">
        <f t="shared" ref="O77:O92" si="25">(N77/M77)*100</f>
        <v>100</v>
      </c>
      <c r="P77" s="27"/>
    </row>
    <row r="78" spans="1:16" s="28" customFormat="1" ht="38.25">
      <c r="A78" s="135">
        <v>1</v>
      </c>
      <c r="B78" s="93" t="s">
        <v>12</v>
      </c>
      <c r="C78" s="93" t="s">
        <v>8</v>
      </c>
      <c r="D78" s="93">
        <v>36</v>
      </c>
      <c r="E78" s="63" t="s">
        <v>111</v>
      </c>
      <c r="F78" s="64" t="s">
        <v>239</v>
      </c>
      <c r="G78" s="65" t="s">
        <v>183</v>
      </c>
      <c r="H78" s="12">
        <v>0</v>
      </c>
      <c r="I78" s="12">
        <v>0</v>
      </c>
      <c r="J78" s="12">
        <v>0</v>
      </c>
      <c r="K78" s="12">
        <v>0</v>
      </c>
      <c r="L78" s="12">
        <v>0</v>
      </c>
      <c r="M78" s="122">
        <v>76</v>
      </c>
      <c r="N78" s="12">
        <v>76</v>
      </c>
      <c r="O78" s="12">
        <f t="shared" si="25"/>
        <v>100</v>
      </c>
      <c r="P78" s="27"/>
    </row>
    <row r="79" spans="1:16" s="28" customFormat="1" ht="25.5">
      <c r="A79" s="62">
        <v>1</v>
      </c>
      <c r="B79" s="63" t="s">
        <v>12</v>
      </c>
      <c r="C79" s="63" t="s">
        <v>8</v>
      </c>
      <c r="D79" s="63">
        <v>36</v>
      </c>
      <c r="E79" s="63" t="s">
        <v>9</v>
      </c>
      <c r="F79" s="64" t="s">
        <v>265</v>
      </c>
      <c r="G79" s="65" t="s">
        <v>266</v>
      </c>
      <c r="H79" s="61">
        <v>0</v>
      </c>
      <c r="I79" s="61">
        <v>0</v>
      </c>
      <c r="J79" s="61">
        <v>0</v>
      </c>
      <c r="K79" s="61">
        <v>0</v>
      </c>
      <c r="L79" s="59">
        <v>0</v>
      </c>
      <c r="M79" s="122">
        <v>50</v>
      </c>
      <c r="N79" s="59">
        <v>50</v>
      </c>
      <c r="O79" s="12">
        <f t="shared" si="25"/>
        <v>100</v>
      </c>
      <c r="P79" s="27"/>
    </row>
    <row r="80" spans="1:16" s="28" customFormat="1" ht="25.5">
      <c r="A80" s="62">
        <v>1</v>
      </c>
      <c r="B80" s="63" t="s">
        <v>12</v>
      </c>
      <c r="C80" s="63" t="s">
        <v>8</v>
      </c>
      <c r="D80" s="63">
        <v>36</v>
      </c>
      <c r="E80" s="63" t="s">
        <v>10</v>
      </c>
      <c r="F80" s="64" t="s">
        <v>179</v>
      </c>
      <c r="G80" s="65" t="s">
        <v>185</v>
      </c>
      <c r="H80" s="61">
        <v>0</v>
      </c>
      <c r="I80" s="61">
        <v>0</v>
      </c>
      <c r="J80" s="61">
        <v>0</v>
      </c>
      <c r="K80" s="61">
        <v>0</v>
      </c>
      <c r="L80" s="59">
        <v>0</v>
      </c>
      <c r="M80" s="124">
        <v>200</v>
      </c>
      <c r="N80" s="59">
        <v>200</v>
      </c>
      <c r="O80" s="12">
        <f t="shared" si="25"/>
        <v>100</v>
      </c>
      <c r="P80" s="27"/>
    </row>
    <row r="81" spans="1:16" s="28" customFormat="1" ht="25.5" customHeight="1">
      <c r="A81" s="62">
        <v>1</v>
      </c>
      <c r="B81" s="63" t="s">
        <v>12</v>
      </c>
      <c r="C81" s="63" t="s">
        <v>8</v>
      </c>
      <c r="D81" s="63">
        <v>36</v>
      </c>
      <c r="E81" s="63" t="s">
        <v>11</v>
      </c>
      <c r="F81" s="64" t="s">
        <v>56</v>
      </c>
      <c r="G81" s="65" t="s">
        <v>178</v>
      </c>
      <c r="H81" s="61">
        <v>0</v>
      </c>
      <c r="I81" s="61">
        <v>0</v>
      </c>
      <c r="J81" s="61">
        <v>0</v>
      </c>
      <c r="K81" s="61">
        <v>0</v>
      </c>
      <c r="L81" s="59">
        <v>0</v>
      </c>
      <c r="M81" s="122">
        <v>4</v>
      </c>
      <c r="N81" s="59">
        <v>4</v>
      </c>
      <c r="O81" s="12">
        <f t="shared" si="25"/>
        <v>100</v>
      </c>
      <c r="P81" s="27"/>
    </row>
    <row r="82" spans="1:16" s="34" customFormat="1" ht="25.5">
      <c r="A82" s="95">
        <v>1</v>
      </c>
      <c r="B82" s="96" t="s">
        <v>12</v>
      </c>
      <c r="C82" s="96" t="s">
        <v>8</v>
      </c>
      <c r="D82" s="96">
        <v>43</v>
      </c>
      <c r="E82" s="95"/>
      <c r="F82" s="97" t="s">
        <v>192</v>
      </c>
      <c r="G82" s="97" t="s">
        <v>193</v>
      </c>
      <c r="H82" s="33">
        <v>0</v>
      </c>
      <c r="I82" s="15">
        <v>0</v>
      </c>
      <c r="J82" s="15">
        <v>0</v>
      </c>
      <c r="K82" s="15">
        <v>0</v>
      </c>
      <c r="L82" s="15">
        <v>0</v>
      </c>
      <c r="M82" s="81">
        <f>(80/5)*1</f>
        <v>16</v>
      </c>
      <c r="N82" s="15">
        <v>16</v>
      </c>
      <c r="O82" s="15">
        <f t="shared" si="25"/>
        <v>100</v>
      </c>
      <c r="P82" s="33"/>
    </row>
    <row r="83" spans="1:16" s="28" customFormat="1" ht="38.25">
      <c r="A83" s="92">
        <v>1</v>
      </c>
      <c r="B83" s="91" t="s">
        <v>12</v>
      </c>
      <c r="C83" s="91" t="s">
        <v>8</v>
      </c>
      <c r="D83" s="91">
        <v>43</v>
      </c>
      <c r="E83" s="91" t="s">
        <v>66</v>
      </c>
      <c r="F83" s="65" t="s">
        <v>169</v>
      </c>
      <c r="G83" s="94" t="s">
        <v>196</v>
      </c>
      <c r="H83" s="27">
        <v>0</v>
      </c>
      <c r="I83" s="12">
        <v>0</v>
      </c>
      <c r="J83" s="12">
        <v>0</v>
      </c>
      <c r="K83" s="12">
        <v>0</v>
      </c>
      <c r="L83" s="12">
        <v>0</v>
      </c>
      <c r="M83" s="128">
        <v>16</v>
      </c>
      <c r="N83" s="12">
        <v>16</v>
      </c>
      <c r="O83" s="12">
        <f t="shared" si="25"/>
        <v>100</v>
      </c>
      <c r="P83" s="43"/>
    </row>
    <row r="84" spans="1:16" s="28" customFormat="1" ht="38.25">
      <c r="A84" s="92">
        <v>1</v>
      </c>
      <c r="B84" s="91" t="s">
        <v>12</v>
      </c>
      <c r="C84" s="91" t="s">
        <v>8</v>
      </c>
      <c r="D84" s="91">
        <v>43</v>
      </c>
      <c r="E84" s="91" t="s">
        <v>8</v>
      </c>
      <c r="F84" s="65" t="s">
        <v>110</v>
      </c>
      <c r="G84" s="65" t="s">
        <v>197</v>
      </c>
      <c r="H84" s="27">
        <v>0</v>
      </c>
      <c r="I84" s="12">
        <v>0</v>
      </c>
      <c r="J84" s="12">
        <v>0</v>
      </c>
      <c r="K84" s="12">
        <v>0</v>
      </c>
      <c r="L84" s="12">
        <v>0</v>
      </c>
      <c r="M84" s="128">
        <v>16</v>
      </c>
      <c r="N84" s="12">
        <v>16</v>
      </c>
      <c r="O84" s="12">
        <f t="shared" si="25"/>
        <v>100</v>
      </c>
      <c r="P84" s="44"/>
    </row>
    <row r="85" spans="1:16" s="28" customFormat="1" ht="25.5" customHeight="1">
      <c r="A85" s="136">
        <v>1</v>
      </c>
      <c r="B85" s="126" t="s">
        <v>12</v>
      </c>
      <c r="C85" s="126" t="s">
        <v>8</v>
      </c>
      <c r="D85" s="126">
        <v>43</v>
      </c>
      <c r="E85" s="126" t="s">
        <v>88</v>
      </c>
      <c r="F85" s="64" t="s">
        <v>195</v>
      </c>
      <c r="G85" s="65" t="s">
        <v>194</v>
      </c>
      <c r="H85" s="27">
        <v>0</v>
      </c>
      <c r="I85" s="12">
        <v>0</v>
      </c>
      <c r="J85" s="12">
        <v>0</v>
      </c>
      <c r="K85" s="12">
        <v>0</v>
      </c>
      <c r="L85" s="12">
        <v>0</v>
      </c>
      <c r="M85" s="124">
        <v>16</v>
      </c>
      <c r="N85" s="12">
        <v>16</v>
      </c>
      <c r="O85" s="12">
        <f t="shared" si="25"/>
        <v>100</v>
      </c>
      <c r="P85" s="44"/>
    </row>
    <row r="86" spans="1:16" s="34" customFormat="1" ht="25.5">
      <c r="A86" s="95">
        <v>1</v>
      </c>
      <c r="B86" s="96" t="s">
        <v>12</v>
      </c>
      <c r="C86" s="96" t="s">
        <v>8</v>
      </c>
      <c r="D86" s="96">
        <v>37</v>
      </c>
      <c r="E86" s="95"/>
      <c r="F86" s="97" t="s">
        <v>267</v>
      </c>
      <c r="G86" s="97" t="s">
        <v>268</v>
      </c>
      <c r="H86" s="33">
        <v>0</v>
      </c>
      <c r="I86" s="15">
        <v>0</v>
      </c>
      <c r="J86" s="15">
        <v>0</v>
      </c>
      <c r="K86" s="15">
        <v>0</v>
      </c>
      <c r="L86" s="15">
        <v>0</v>
      </c>
      <c r="M86" s="81">
        <f>(100/5)*1</f>
        <v>20</v>
      </c>
      <c r="N86" s="15">
        <v>20</v>
      </c>
      <c r="O86" s="15">
        <f t="shared" si="25"/>
        <v>100</v>
      </c>
      <c r="P86" s="33"/>
    </row>
    <row r="87" spans="1:16" s="103" customFormat="1" ht="38.25">
      <c r="A87" s="92">
        <v>1</v>
      </c>
      <c r="B87" s="91" t="s">
        <v>12</v>
      </c>
      <c r="C87" s="91" t="s">
        <v>8</v>
      </c>
      <c r="D87" s="91">
        <v>37</v>
      </c>
      <c r="E87" s="91" t="s">
        <v>66</v>
      </c>
      <c r="F87" s="65" t="s">
        <v>170</v>
      </c>
      <c r="G87" s="65" t="s">
        <v>190</v>
      </c>
      <c r="H87" s="12">
        <v>0</v>
      </c>
      <c r="I87" s="12">
        <v>0</v>
      </c>
      <c r="J87" s="12">
        <v>0</v>
      </c>
      <c r="K87" s="12">
        <v>0</v>
      </c>
      <c r="L87" s="12">
        <v>0</v>
      </c>
      <c r="M87" s="122">
        <v>20</v>
      </c>
      <c r="N87" s="12">
        <v>20</v>
      </c>
      <c r="O87" s="12">
        <f t="shared" si="25"/>
        <v>100</v>
      </c>
      <c r="P87" s="61"/>
    </row>
    <row r="88" spans="1:16" s="28" customFormat="1" ht="38.25">
      <c r="A88" s="92">
        <v>1</v>
      </c>
      <c r="B88" s="91" t="s">
        <v>12</v>
      </c>
      <c r="C88" s="91" t="s">
        <v>8</v>
      </c>
      <c r="D88" s="91">
        <v>37</v>
      </c>
      <c r="E88" s="91" t="s">
        <v>8</v>
      </c>
      <c r="F88" s="65" t="s">
        <v>62</v>
      </c>
      <c r="G88" s="65" t="s">
        <v>191</v>
      </c>
      <c r="H88" s="27">
        <v>0</v>
      </c>
      <c r="I88" s="12">
        <v>0</v>
      </c>
      <c r="J88" s="12">
        <v>0</v>
      </c>
      <c r="K88" s="12">
        <v>0</v>
      </c>
      <c r="L88" s="12">
        <v>0</v>
      </c>
      <c r="M88" s="124">
        <v>20</v>
      </c>
      <c r="N88" s="12">
        <v>20</v>
      </c>
      <c r="O88" s="12">
        <f t="shared" si="25"/>
        <v>100</v>
      </c>
      <c r="P88" s="27"/>
    </row>
    <row r="89" spans="1:16" s="28" customFormat="1" ht="25.5">
      <c r="A89" s="95">
        <v>1</v>
      </c>
      <c r="B89" s="96" t="s">
        <v>12</v>
      </c>
      <c r="C89" s="96" t="s">
        <v>8</v>
      </c>
      <c r="D89" s="96">
        <v>43</v>
      </c>
      <c r="E89" s="95"/>
      <c r="F89" s="97" t="s">
        <v>180</v>
      </c>
      <c r="G89" s="97" t="s">
        <v>181</v>
      </c>
      <c r="H89" s="27">
        <v>0</v>
      </c>
      <c r="I89" s="12">
        <v>0</v>
      </c>
      <c r="J89" s="12">
        <v>0</v>
      </c>
      <c r="K89" s="12">
        <v>0</v>
      </c>
      <c r="L89" s="12">
        <v>0</v>
      </c>
      <c r="M89" s="81">
        <f>(100/5)*1</f>
        <v>20</v>
      </c>
      <c r="N89" s="15">
        <v>20</v>
      </c>
      <c r="O89" s="15">
        <f t="shared" si="25"/>
        <v>100</v>
      </c>
      <c r="P89" s="44"/>
    </row>
    <row r="90" spans="1:16" s="34" customFormat="1" ht="38.25">
      <c r="A90" s="89">
        <v>1</v>
      </c>
      <c r="B90" s="90" t="s">
        <v>12</v>
      </c>
      <c r="C90" s="90" t="s">
        <v>8</v>
      </c>
      <c r="D90" s="90">
        <v>43</v>
      </c>
      <c r="E90" s="91" t="s">
        <v>66</v>
      </c>
      <c r="F90" s="65" t="s">
        <v>45</v>
      </c>
      <c r="G90" s="65" t="s">
        <v>186</v>
      </c>
      <c r="H90" s="33">
        <v>0</v>
      </c>
      <c r="I90" s="15">
        <v>0</v>
      </c>
      <c r="J90" s="15">
        <v>0</v>
      </c>
      <c r="K90" s="15">
        <v>0</v>
      </c>
      <c r="L90" s="15">
        <v>0</v>
      </c>
      <c r="M90" s="122">
        <v>0</v>
      </c>
      <c r="N90" s="15">
        <v>0</v>
      </c>
      <c r="O90" s="15">
        <v>0</v>
      </c>
      <c r="P90" s="33"/>
    </row>
    <row r="91" spans="1:16" s="103" customFormat="1" ht="38.25">
      <c r="A91" s="92">
        <v>1</v>
      </c>
      <c r="B91" s="91" t="s">
        <v>12</v>
      </c>
      <c r="C91" s="91" t="s">
        <v>8</v>
      </c>
      <c r="D91" s="91">
        <v>43</v>
      </c>
      <c r="E91" s="91" t="s">
        <v>8</v>
      </c>
      <c r="F91" s="65" t="s">
        <v>54</v>
      </c>
      <c r="G91" s="65" t="s">
        <v>187</v>
      </c>
      <c r="H91" s="61">
        <v>0</v>
      </c>
      <c r="I91" s="61">
        <v>0</v>
      </c>
      <c r="J91" s="61">
        <v>0</v>
      </c>
      <c r="K91" s="61">
        <v>0</v>
      </c>
      <c r="L91" s="59">
        <v>0</v>
      </c>
      <c r="M91" s="122">
        <v>7</v>
      </c>
      <c r="N91" s="59">
        <v>7</v>
      </c>
      <c r="O91" s="12">
        <f t="shared" si="25"/>
        <v>100</v>
      </c>
      <c r="P91" s="61"/>
    </row>
    <row r="92" spans="1:16" ht="51">
      <c r="A92" s="92">
        <v>1</v>
      </c>
      <c r="B92" s="91" t="s">
        <v>12</v>
      </c>
      <c r="C92" s="91" t="s">
        <v>8</v>
      </c>
      <c r="D92" s="91">
        <v>43</v>
      </c>
      <c r="E92" s="91" t="s">
        <v>88</v>
      </c>
      <c r="F92" s="65" t="s">
        <v>60</v>
      </c>
      <c r="G92" s="65" t="s">
        <v>188</v>
      </c>
      <c r="H92" s="61">
        <v>0</v>
      </c>
      <c r="I92" s="61">
        <v>0</v>
      </c>
      <c r="J92" s="61">
        <v>0</v>
      </c>
      <c r="K92" s="61">
        <v>0</v>
      </c>
      <c r="L92" s="59">
        <v>0</v>
      </c>
      <c r="M92" s="122">
        <v>6</v>
      </c>
      <c r="N92" s="59">
        <v>6</v>
      </c>
      <c r="O92" s="12">
        <f t="shared" si="25"/>
        <v>100</v>
      </c>
      <c r="P92" s="147"/>
    </row>
    <row r="93" spans="1:16" ht="38.25">
      <c r="A93" s="92">
        <v>1</v>
      </c>
      <c r="B93" s="91" t="s">
        <v>12</v>
      </c>
      <c r="C93" s="91" t="s">
        <v>8</v>
      </c>
      <c r="D93" s="91">
        <v>43</v>
      </c>
      <c r="E93" s="91" t="s">
        <v>111</v>
      </c>
      <c r="F93" s="65" t="s">
        <v>164</v>
      </c>
      <c r="G93" s="65" t="s">
        <v>189</v>
      </c>
      <c r="H93" s="61">
        <v>0</v>
      </c>
      <c r="I93" s="61">
        <v>0</v>
      </c>
      <c r="J93" s="61">
        <v>0</v>
      </c>
      <c r="K93" s="61">
        <v>0</v>
      </c>
      <c r="L93" s="59">
        <v>0</v>
      </c>
      <c r="M93" s="124">
        <v>0</v>
      </c>
      <c r="N93" s="59">
        <v>0</v>
      </c>
      <c r="O93" s="59">
        <v>0</v>
      </c>
      <c r="P93" s="147"/>
    </row>
  </sheetData>
  <mergeCells count="10">
    <mergeCell ref="M5:M6"/>
    <mergeCell ref="P5:P6"/>
    <mergeCell ref="A7:E7"/>
    <mergeCell ref="A5:E6"/>
    <mergeCell ref="F5:F6"/>
    <mergeCell ref="G5:G6"/>
    <mergeCell ref="H5:H6"/>
    <mergeCell ref="I5:I6"/>
    <mergeCell ref="J5:L5"/>
    <mergeCell ref="N5:O5"/>
  </mergeCells>
  <pageMargins left="1.1811023622047245" right="1.1811023622047245" top="1.5748031496062993" bottom="1.1811023622047245" header="0.31496062992125984" footer="0.31496062992125984"/>
  <pageSetup paperSize="9" scale="70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9"/>
  <sheetViews>
    <sheetView workbookViewId="0"/>
  </sheetViews>
  <sheetFormatPr defaultRowHeight="12.75"/>
  <cols>
    <col min="1" max="1" width="4.7109375" style="42" customWidth="1"/>
    <col min="2" max="2" width="35.7109375" style="28" customWidth="1"/>
    <col min="3" max="7" width="12.7109375" style="28" customWidth="1"/>
    <col min="8" max="8" width="12.7109375" style="103" customWidth="1"/>
    <col min="9" max="12" width="12.7109375" style="28" customWidth="1"/>
    <col min="13" max="13" width="15.7109375" style="28" customWidth="1"/>
    <col min="14" max="16384" width="9.140625" style="28"/>
  </cols>
  <sheetData>
    <row r="1" spans="1:13" s="2" customFormat="1" ht="15.75">
      <c r="A1" s="3" t="s">
        <v>13</v>
      </c>
      <c r="H1" s="104"/>
    </row>
    <row r="3" spans="1:13" s="35" customFormat="1">
      <c r="A3" s="160" t="s">
        <v>14</v>
      </c>
      <c r="B3" s="160" t="s">
        <v>15</v>
      </c>
      <c r="C3" s="160" t="s">
        <v>21</v>
      </c>
      <c r="D3" s="160" t="s">
        <v>16</v>
      </c>
      <c r="E3" s="160" t="s">
        <v>17</v>
      </c>
      <c r="F3" s="160"/>
      <c r="G3" s="160"/>
      <c r="H3" s="160"/>
      <c r="I3" s="160" t="s">
        <v>18</v>
      </c>
      <c r="J3" s="160"/>
      <c r="K3" s="160" t="s">
        <v>19</v>
      </c>
      <c r="L3" s="160"/>
      <c r="M3" s="160" t="s">
        <v>20</v>
      </c>
    </row>
    <row r="4" spans="1:13" s="35" customFormat="1" ht="25.5">
      <c r="A4" s="160"/>
      <c r="B4" s="160"/>
      <c r="C4" s="160"/>
      <c r="D4" s="160"/>
      <c r="E4" s="145" t="s">
        <v>270</v>
      </c>
      <c r="F4" s="145" t="s">
        <v>271</v>
      </c>
      <c r="G4" s="145" t="s">
        <v>272</v>
      </c>
      <c r="H4" s="146" t="s">
        <v>273</v>
      </c>
      <c r="I4" s="145" t="s">
        <v>270</v>
      </c>
      <c r="J4" s="145" t="s">
        <v>271</v>
      </c>
      <c r="K4" s="145" t="s">
        <v>272</v>
      </c>
      <c r="L4" s="145" t="s">
        <v>273</v>
      </c>
      <c r="M4" s="160"/>
    </row>
    <row r="5" spans="1:13" s="37" customFormat="1">
      <c r="A5" s="36">
        <v>1</v>
      </c>
      <c r="B5" s="36">
        <v>2</v>
      </c>
      <c r="C5" s="36">
        <v>3</v>
      </c>
      <c r="D5" s="36">
        <v>4</v>
      </c>
      <c r="E5" s="36">
        <v>5</v>
      </c>
      <c r="F5" s="36">
        <v>6</v>
      </c>
      <c r="G5" s="36">
        <v>7</v>
      </c>
      <c r="H5" s="105">
        <v>8</v>
      </c>
      <c r="I5" s="36">
        <v>9</v>
      </c>
      <c r="J5" s="36">
        <v>10</v>
      </c>
      <c r="K5" s="36">
        <v>11</v>
      </c>
      <c r="L5" s="36">
        <v>12</v>
      </c>
      <c r="M5" s="36">
        <v>13</v>
      </c>
    </row>
    <row r="6" spans="1:13" s="40" customFormat="1" ht="25.5">
      <c r="A6" s="38" t="s">
        <v>22</v>
      </c>
      <c r="B6" s="26" t="s">
        <v>226</v>
      </c>
      <c r="C6" s="39" t="s">
        <v>7</v>
      </c>
      <c r="D6" s="39" t="s">
        <v>7</v>
      </c>
      <c r="E6" s="39">
        <v>1</v>
      </c>
      <c r="F6" s="39">
        <v>1</v>
      </c>
      <c r="G6" s="102" t="s">
        <v>7</v>
      </c>
      <c r="H6" s="102" t="s">
        <v>7</v>
      </c>
      <c r="I6" s="39">
        <v>1</v>
      </c>
      <c r="J6" s="39">
        <v>1</v>
      </c>
      <c r="K6" s="102" t="s">
        <v>7</v>
      </c>
      <c r="L6" s="102" t="s">
        <v>7</v>
      </c>
      <c r="M6" s="26"/>
    </row>
    <row r="7" spans="1:13" s="40" customFormat="1" ht="38.25">
      <c r="A7" s="38" t="s">
        <v>23</v>
      </c>
      <c r="B7" s="26" t="s">
        <v>227</v>
      </c>
      <c r="C7" s="39" t="s">
        <v>7</v>
      </c>
      <c r="D7" s="39" t="s">
        <v>7</v>
      </c>
      <c r="E7" s="39">
        <v>1</v>
      </c>
      <c r="F7" s="39">
        <v>1</v>
      </c>
      <c r="G7" s="102" t="s">
        <v>7</v>
      </c>
      <c r="H7" s="102" t="s">
        <v>7</v>
      </c>
      <c r="I7" s="39">
        <v>1</v>
      </c>
      <c r="J7" s="39">
        <v>1</v>
      </c>
      <c r="K7" s="102" t="s">
        <v>7</v>
      </c>
      <c r="L7" s="102" t="s">
        <v>7</v>
      </c>
      <c r="M7" s="26"/>
    </row>
    <row r="8" spans="1:13" s="40" customFormat="1" ht="25.5">
      <c r="A8" s="38" t="s">
        <v>24</v>
      </c>
      <c r="B8" s="26" t="s">
        <v>228</v>
      </c>
      <c r="C8" s="39" t="s">
        <v>7</v>
      </c>
      <c r="D8" s="39" t="s">
        <v>7</v>
      </c>
      <c r="E8" s="39">
        <v>1</v>
      </c>
      <c r="F8" s="39">
        <v>1</v>
      </c>
      <c r="G8" s="102">
        <v>0</v>
      </c>
      <c r="H8" s="102">
        <v>0</v>
      </c>
      <c r="I8" s="39">
        <v>1</v>
      </c>
      <c r="J8" s="39">
        <v>1</v>
      </c>
      <c r="K8" s="102">
        <v>0</v>
      </c>
      <c r="L8" s="102">
        <v>0</v>
      </c>
      <c r="M8" s="26"/>
    </row>
    <row r="9" spans="1:13" s="40" customFormat="1" ht="25.5">
      <c r="A9" s="38" t="s">
        <v>25</v>
      </c>
      <c r="B9" s="26" t="s">
        <v>229</v>
      </c>
      <c r="C9" s="39" t="s">
        <v>7</v>
      </c>
      <c r="D9" s="39" t="s">
        <v>7</v>
      </c>
      <c r="E9" s="39">
        <v>1</v>
      </c>
      <c r="F9" s="39">
        <v>1</v>
      </c>
      <c r="G9" s="102">
        <v>0</v>
      </c>
      <c r="H9" s="102">
        <v>0</v>
      </c>
      <c r="I9" s="39">
        <v>1</v>
      </c>
      <c r="J9" s="39">
        <v>1</v>
      </c>
      <c r="K9" s="102">
        <v>0</v>
      </c>
      <c r="L9" s="102">
        <v>0</v>
      </c>
      <c r="M9" s="26"/>
    </row>
    <row r="10" spans="1:13" s="40" customFormat="1" ht="25.5">
      <c r="A10" s="38" t="s">
        <v>26</v>
      </c>
      <c r="B10" s="26" t="s">
        <v>230</v>
      </c>
      <c r="C10" s="39" t="s">
        <v>7</v>
      </c>
      <c r="D10" s="39" t="s">
        <v>7</v>
      </c>
      <c r="E10" s="39">
        <v>1</v>
      </c>
      <c r="F10" s="39">
        <v>1</v>
      </c>
      <c r="G10" s="102">
        <v>0</v>
      </c>
      <c r="H10" s="102">
        <v>0</v>
      </c>
      <c r="I10" s="39">
        <v>1</v>
      </c>
      <c r="J10" s="39">
        <v>1</v>
      </c>
      <c r="K10" s="102">
        <v>0</v>
      </c>
      <c r="L10" s="102">
        <v>0</v>
      </c>
      <c r="M10" s="26"/>
    </row>
    <row r="11" spans="1:13" s="40" customFormat="1" ht="25.5">
      <c r="A11" s="38" t="s">
        <v>27</v>
      </c>
      <c r="B11" s="26" t="s">
        <v>182</v>
      </c>
      <c r="C11" s="39" t="s">
        <v>7</v>
      </c>
      <c r="D11" s="39" t="s">
        <v>7</v>
      </c>
      <c r="E11" s="39">
        <v>120</v>
      </c>
      <c r="F11" s="39">
        <v>140</v>
      </c>
      <c r="G11" s="102">
        <v>0</v>
      </c>
      <c r="H11" s="102">
        <v>0</v>
      </c>
      <c r="I11" s="39">
        <v>120</v>
      </c>
      <c r="J11" s="39">
        <v>140</v>
      </c>
      <c r="K11" s="102">
        <v>0</v>
      </c>
      <c r="L11" s="102">
        <v>0</v>
      </c>
      <c r="M11" s="26"/>
    </row>
    <row r="12" spans="1:13" s="40" customFormat="1" ht="38.25">
      <c r="A12" s="38" t="s">
        <v>28</v>
      </c>
      <c r="B12" s="26" t="s">
        <v>231</v>
      </c>
      <c r="C12" s="39" t="s">
        <v>7</v>
      </c>
      <c r="D12" s="39" t="s">
        <v>7</v>
      </c>
      <c r="E12" s="39">
        <v>3</v>
      </c>
      <c r="F12" s="39">
        <v>3</v>
      </c>
      <c r="G12" s="102">
        <v>0</v>
      </c>
      <c r="H12" s="102">
        <v>0</v>
      </c>
      <c r="I12" s="39">
        <v>3</v>
      </c>
      <c r="J12" s="39">
        <v>3</v>
      </c>
      <c r="K12" s="102">
        <v>0</v>
      </c>
      <c r="L12" s="102">
        <v>0</v>
      </c>
      <c r="M12" s="26"/>
    </row>
    <row r="13" spans="1:13" s="40" customFormat="1" ht="25.5">
      <c r="A13" s="38" t="s">
        <v>29</v>
      </c>
      <c r="B13" s="26" t="s">
        <v>175</v>
      </c>
      <c r="C13" s="39" t="s">
        <v>7</v>
      </c>
      <c r="D13" s="39" t="s">
        <v>7</v>
      </c>
      <c r="E13" s="39">
        <v>11</v>
      </c>
      <c r="F13" s="39">
        <v>11</v>
      </c>
      <c r="G13" s="102">
        <v>0</v>
      </c>
      <c r="H13" s="102">
        <v>0</v>
      </c>
      <c r="I13" s="39">
        <v>11</v>
      </c>
      <c r="J13" s="39">
        <v>11</v>
      </c>
      <c r="K13" s="102">
        <v>0</v>
      </c>
      <c r="L13" s="102">
        <v>0</v>
      </c>
      <c r="M13" s="26"/>
    </row>
    <row r="14" spans="1:13" s="40" customFormat="1" ht="25.5">
      <c r="A14" s="38" t="s">
        <v>30</v>
      </c>
      <c r="B14" s="26" t="s">
        <v>232</v>
      </c>
      <c r="C14" s="39" t="s">
        <v>7</v>
      </c>
      <c r="D14" s="39" t="s">
        <v>7</v>
      </c>
      <c r="E14" s="41" t="s">
        <v>160</v>
      </c>
      <c r="F14" s="41" t="s">
        <v>166</v>
      </c>
      <c r="G14" s="149">
        <v>0</v>
      </c>
      <c r="H14" s="149">
        <v>0</v>
      </c>
      <c r="I14" s="41" t="s">
        <v>160</v>
      </c>
      <c r="J14" s="41" t="s">
        <v>166</v>
      </c>
      <c r="K14" s="149">
        <v>0</v>
      </c>
      <c r="L14" s="149">
        <v>0</v>
      </c>
      <c r="M14" s="26"/>
    </row>
    <row r="15" spans="1:13" s="40" customFormat="1" ht="38.25">
      <c r="A15" s="38" t="s">
        <v>31</v>
      </c>
      <c r="B15" s="26" t="s">
        <v>233</v>
      </c>
      <c r="C15" s="39" t="s">
        <v>7</v>
      </c>
      <c r="D15" s="39" t="s">
        <v>7</v>
      </c>
      <c r="E15" s="41" t="s">
        <v>159</v>
      </c>
      <c r="F15" s="41" t="s">
        <v>165</v>
      </c>
      <c r="G15" s="149">
        <v>0</v>
      </c>
      <c r="H15" s="149">
        <v>0</v>
      </c>
      <c r="I15" s="41" t="s">
        <v>159</v>
      </c>
      <c r="J15" s="41" t="s">
        <v>165</v>
      </c>
      <c r="K15" s="149">
        <v>0</v>
      </c>
      <c r="L15" s="149">
        <v>0</v>
      </c>
      <c r="M15" s="26"/>
    </row>
    <row r="16" spans="1:13" s="40" customFormat="1" ht="25.5">
      <c r="A16" s="38" t="s">
        <v>32</v>
      </c>
      <c r="B16" s="26" t="s">
        <v>234</v>
      </c>
      <c r="C16" s="39" t="s">
        <v>7</v>
      </c>
      <c r="D16" s="39" t="s">
        <v>7</v>
      </c>
      <c r="E16" s="39">
        <v>4</v>
      </c>
      <c r="F16" s="41">
        <v>4</v>
      </c>
      <c r="G16" s="149">
        <v>0</v>
      </c>
      <c r="H16" s="149">
        <v>0</v>
      </c>
      <c r="I16" s="39">
        <v>4</v>
      </c>
      <c r="J16" s="41">
        <v>4</v>
      </c>
      <c r="K16" s="149">
        <v>0</v>
      </c>
      <c r="L16" s="149">
        <v>0</v>
      </c>
      <c r="M16" s="26"/>
    </row>
    <row r="17" spans="1:13" s="40" customFormat="1" ht="25.5" customHeight="1">
      <c r="A17" s="38" t="s">
        <v>33</v>
      </c>
      <c r="B17" s="26" t="s">
        <v>235</v>
      </c>
      <c r="C17" s="39" t="s">
        <v>7</v>
      </c>
      <c r="D17" s="39" t="s">
        <v>7</v>
      </c>
      <c r="E17" s="39">
        <v>120</v>
      </c>
      <c r="F17" s="39">
        <v>140</v>
      </c>
      <c r="G17" s="102">
        <v>0</v>
      </c>
      <c r="H17" s="102">
        <v>0</v>
      </c>
      <c r="I17" s="39">
        <v>120</v>
      </c>
      <c r="J17" s="39">
        <v>140</v>
      </c>
      <c r="K17" s="102">
        <v>0</v>
      </c>
      <c r="L17" s="102">
        <v>0</v>
      </c>
      <c r="M17" s="26"/>
    </row>
    <row r="18" spans="1:13" s="40" customFormat="1" ht="25.5">
      <c r="A18" s="38" t="s">
        <v>145</v>
      </c>
      <c r="B18" s="26" t="s">
        <v>184</v>
      </c>
      <c r="C18" s="39" t="s">
        <v>7</v>
      </c>
      <c r="D18" s="39" t="s">
        <v>7</v>
      </c>
      <c r="E18" s="39">
        <v>40</v>
      </c>
      <c r="F18" s="39">
        <v>50</v>
      </c>
      <c r="G18" s="102">
        <v>0</v>
      </c>
      <c r="H18" s="102">
        <v>0</v>
      </c>
      <c r="I18" s="39">
        <v>40</v>
      </c>
      <c r="J18" s="39">
        <v>50</v>
      </c>
      <c r="K18" s="102">
        <v>0</v>
      </c>
      <c r="L18" s="102">
        <v>0</v>
      </c>
      <c r="M18" s="26"/>
    </row>
    <row r="19" spans="1:13" s="40" customFormat="1" ht="25.5">
      <c r="A19" s="38" t="s">
        <v>149</v>
      </c>
      <c r="B19" s="26" t="s">
        <v>185</v>
      </c>
      <c r="C19" s="39" t="s">
        <v>7</v>
      </c>
      <c r="D19" s="39" t="s">
        <v>7</v>
      </c>
      <c r="E19" s="39">
        <v>80</v>
      </c>
      <c r="F19" s="39">
        <v>100</v>
      </c>
      <c r="G19" s="102">
        <v>0</v>
      </c>
      <c r="H19" s="102">
        <v>0</v>
      </c>
      <c r="I19" s="39">
        <v>80</v>
      </c>
      <c r="J19" s="39">
        <v>100</v>
      </c>
      <c r="K19" s="102">
        <v>0</v>
      </c>
      <c r="L19" s="102">
        <v>0</v>
      </c>
      <c r="M19" s="26"/>
    </row>
    <row r="20" spans="1:13" s="40" customFormat="1" ht="25.5">
      <c r="A20" s="38" t="s">
        <v>150</v>
      </c>
      <c r="B20" s="26" t="s">
        <v>220</v>
      </c>
      <c r="C20" s="39" t="s">
        <v>7</v>
      </c>
      <c r="D20" s="39" t="s">
        <v>7</v>
      </c>
      <c r="E20" s="39">
        <v>1</v>
      </c>
      <c r="F20" s="39">
        <v>1</v>
      </c>
      <c r="G20" s="102">
        <v>0</v>
      </c>
      <c r="H20" s="102">
        <v>0</v>
      </c>
      <c r="I20" s="39">
        <v>1</v>
      </c>
      <c r="J20" s="39" t="s">
        <v>7</v>
      </c>
      <c r="K20" s="102">
        <v>0</v>
      </c>
      <c r="L20" s="102">
        <v>0</v>
      </c>
      <c r="M20" s="26"/>
    </row>
    <row r="21" spans="1:13" s="40" customFormat="1" ht="25.5">
      <c r="A21" s="38" t="s">
        <v>151</v>
      </c>
      <c r="B21" s="26" t="s">
        <v>224</v>
      </c>
      <c r="C21" s="39" t="s">
        <v>7</v>
      </c>
      <c r="D21" s="39" t="s">
        <v>7</v>
      </c>
      <c r="E21" s="39">
        <v>2</v>
      </c>
      <c r="F21" s="39">
        <v>2</v>
      </c>
      <c r="G21" s="102">
        <v>0</v>
      </c>
      <c r="H21" s="102">
        <v>0</v>
      </c>
      <c r="I21" s="39">
        <v>2</v>
      </c>
      <c r="J21" s="39">
        <v>2</v>
      </c>
      <c r="K21" s="102">
        <v>0</v>
      </c>
      <c r="L21" s="102">
        <v>0</v>
      </c>
      <c r="M21" s="26"/>
    </row>
    <row r="22" spans="1:13" s="40" customFormat="1" ht="38.25">
      <c r="A22" s="38" t="s">
        <v>152</v>
      </c>
      <c r="B22" s="26" t="s">
        <v>212</v>
      </c>
      <c r="C22" s="39" t="s">
        <v>7</v>
      </c>
      <c r="D22" s="39" t="s">
        <v>7</v>
      </c>
      <c r="E22" s="39">
        <v>5</v>
      </c>
      <c r="F22" s="39">
        <v>5</v>
      </c>
      <c r="G22" s="102">
        <v>0</v>
      </c>
      <c r="H22" s="102">
        <v>0</v>
      </c>
      <c r="I22" s="39">
        <v>5</v>
      </c>
      <c r="J22" s="39">
        <v>5</v>
      </c>
      <c r="K22" s="102">
        <v>0</v>
      </c>
      <c r="L22" s="102">
        <v>0</v>
      </c>
      <c r="M22" s="26"/>
    </row>
    <row r="23" spans="1:13" s="40" customFormat="1" ht="38.25">
      <c r="A23" s="38" t="s">
        <v>153</v>
      </c>
      <c r="B23" s="26" t="s">
        <v>189</v>
      </c>
      <c r="C23" s="39" t="s">
        <v>7</v>
      </c>
      <c r="D23" s="39" t="s">
        <v>7</v>
      </c>
      <c r="E23" s="39" t="s">
        <v>7</v>
      </c>
      <c r="F23" s="39">
        <v>1</v>
      </c>
      <c r="G23" s="102">
        <v>0</v>
      </c>
      <c r="H23" s="102">
        <v>0</v>
      </c>
      <c r="I23" s="39" t="s">
        <v>7</v>
      </c>
      <c r="J23" s="39" t="s">
        <v>7</v>
      </c>
      <c r="K23" s="102">
        <v>0</v>
      </c>
      <c r="L23" s="102">
        <v>0</v>
      </c>
      <c r="M23" s="26"/>
    </row>
    <row r="24" spans="1:13" s="40" customFormat="1" ht="25.5" customHeight="1">
      <c r="A24" s="38" t="s">
        <v>154</v>
      </c>
      <c r="B24" s="26" t="s">
        <v>190</v>
      </c>
      <c r="C24" s="39" t="s">
        <v>7</v>
      </c>
      <c r="D24" s="39" t="s">
        <v>7</v>
      </c>
      <c r="E24" s="39">
        <v>64</v>
      </c>
      <c r="F24" s="39">
        <v>80</v>
      </c>
      <c r="G24" s="102">
        <v>0</v>
      </c>
      <c r="H24" s="102">
        <v>0</v>
      </c>
      <c r="I24" s="39">
        <v>64</v>
      </c>
      <c r="J24" s="39">
        <v>80</v>
      </c>
      <c r="K24" s="102">
        <v>0</v>
      </c>
      <c r="L24" s="102">
        <v>0</v>
      </c>
      <c r="M24" s="26"/>
    </row>
    <row r="25" spans="1:13" s="40" customFormat="1" ht="38.25">
      <c r="A25" s="38" t="s">
        <v>155</v>
      </c>
      <c r="B25" s="26" t="s">
        <v>236</v>
      </c>
      <c r="C25" s="39" t="s">
        <v>7</v>
      </c>
      <c r="D25" s="39" t="s">
        <v>7</v>
      </c>
      <c r="E25" s="39">
        <v>64</v>
      </c>
      <c r="F25" s="39">
        <v>80</v>
      </c>
      <c r="G25" s="102">
        <v>0</v>
      </c>
      <c r="H25" s="102">
        <v>0</v>
      </c>
      <c r="I25" s="39">
        <v>64</v>
      </c>
      <c r="J25" s="39">
        <v>80</v>
      </c>
      <c r="K25" s="102">
        <v>0</v>
      </c>
      <c r="L25" s="102">
        <v>0</v>
      </c>
      <c r="M25" s="26"/>
    </row>
    <row r="26" spans="1:13" s="40" customFormat="1" ht="25.5">
      <c r="A26" s="38" t="s">
        <v>156</v>
      </c>
      <c r="B26" s="26" t="s">
        <v>210</v>
      </c>
      <c r="C26" s="39" t="s">
        <v>7</v>
      </c>
      <c r="D26" s="39" t="s">
        <v>7</v>
      </c>
      <c r="E26" s="39">
        <v>48</v>
      </c>
      <c r="F26" s="39">
        <v>60</v>
      </c>
      <c r="G26" s="102">
        <v>0</v>
      </c>
      <c r="H26" s="102">
        <v>0</v>
      </c>
      <c r="I26" s="39">
        <v>48</v>
      </c>
      <c r="J26" s="39">
        <v>60</v>
      </c>
      <c r="K26" s="102">
        <v>0</v>
      </c>
      <c r="L26" s="102">
        <v>0</v>
      </c>
      <c r="M26" s="26"/>
    </row>
    <row r="27" spans="1:13" s="40" customFormat="1" ht="25.5">
      <c r="A27" s="38" t="s">
        <v>157</v>
      </c>
      <c r="B27" s="26" t="s">
        <v>237</v>
      </c>
      <c r="C27" s="39" t="s">
        <v>7</v>
      </c>
      <c r="D27" s="39" t="s">
        <v>7</v>
      </c>
      <c r="E27" s="39">
        <v>48</v>
      </c>
      <c r="F27" s="39">
        <v>60</v>
      </c>
      <c r="G27" s="102">
        <v>0</v>
      </c>
      <c r="H27" s="102">
        <v>0</v>
      </c>
      <c r="I27" s="39">
        <v>48</v>
      </c>
      <c r="J27" s="39">
        <v>60</v>
      </c>
      <c r="K27" s="102">
        <v>0</v>
      </c>
      <c r="L27" s="102">
        <v>0</v>
      </c>
      <c r="M27" s="26"/>
    </row>
    <row r="28" spans="1:13" s="40" customFormat="1" ht="38.25">
      <c r="A28" s="38" t="s">
        <v>238</v>
      </c>
      <c r="B28" s="26" t="s">
        <v>197</v>
      </c>
      <c r="C28" s="39" t="s">
        <v>7</v>
      </c>
      <c r="D28" s="39" t="s">
        <v>7</v>
      </c>
      <c r="E28" s="39">
        <v>48</v>
      </c>
      <c r="F28" s="39">
        <v>60</v>
      </c>
      <c r="G28" s="102">
        <v>0</v>
      </c>
      <c r="H28" s="102">
        <v>0</v>
      </c>
      <c r="I28" s="39">
        <v>48</v>
      </c>
      <c r="J28" s="39">
        <v>60</v>
      </c>
      <c r="K28" s="102">
        <v>0</v>
      </c>
      <c r="L28" s="102">
        <v>0</v>
      </c>
      <c r="M28" s="26"/>
    </row>
    <row r="29" spans="1:13" s="40" customFormat="1" ht="25.5">
      <c r="A29" s="153"/>
      <c r="B29" s="154" t="s">
        <v>300</v>
      </c>
      <c r="C29" s="155"/>
      <c r="D29" s="155"/>
      <c r="E29" s="155"/>
      <c r="F29" s="155"/>
      <c r="G29" s="156"/>
      <c r="H29" s="156"/>
      <c r="I29" s="155"/>
      <c r="J29" s="155"/>
      <c r="K29" s="156"/>
      <c r="L29" s="156"/>
      <c r="M29" s="157"/>
    </row>
    <row r="30" spans="1:13" s="40" customFormat="1" ht="51">
      <c r="A30" s="38" t="s">
        <v>274</v>
      </c>
      <c r="B30" s="65" t="s">
        <v>207</v>
      </c>
      <c r="C30" s="152">
        <v>0</v>
      </c>
      <c r="D30" s="152">
        <v>0</v>
      </c>
      <c r="E30" s="152">
        <v>0</v>
      </c>
      <c r="F30" s="152">
        <v>0</v>
      </c>
      <c r="G30" s="122">
        <v>2</v>
      </c>
      <c r="H30" s="122">
        <v>2</v>
      </c>
      <c r="I30" s="152">
        <v>0</v>
      </c>
      <c r="J30" s="152">
        <v>0</v>
      </c>
      <c r="K30" s="122">
        <v>2</v>
      </c>
      <c r="L30" s="122">
        <v>2</v>
      </c>
      <c r="M30" s="26"/>
    </row>
    <row r="31" spans="1:13" s="40" customFormat="1" ht="38.25">
      <c r="A31" s="38" t="s">
        <v>275</v>
      </c>
      <c r="B31" s="65" t="s">
        <v>171</v>
      </c>
      <c r="C31" s="152">
        <v>0</v>
      </c>
      <c r="D31" s="152">
        <v>0</v>
      </c>
      <c r="E31" s="152">
        <v>0</v>
      </c>
      <c r="F31" s="152">
        <v>0</v>
      </c>
      <c r="G31" s="122">
        <v>2</v>
      </c>
      <c r="H31" s="122">
        <v>2</v>
      </c>
      <c r="I31" s="152">
        <v>0</v>
      </c>
      <c r="J31" s="152">
        <v>0</v>
      </c>
      <c r="K31" s="122">
        <v>1</v>
      </c>
      <c r="L31" s="122">
        <v>1</v>
      </c>
      <c r="M31" s="26"/>
    </row>
    <row r="32" spans="1:13" s="40" customFormat="1" ht="38.25" customHeight="1">
      <c r="A32" s="38" t="s">
        <v>276</v>
      </c>
      <c r="B32" s="65" t="s">
        <v>245</v>
      </c>
      <c r="C32" s="152">
        <v>0</v>
      </c>
      <c r="D32" s="152">
        <v>0</v>
      </c>
      <c r="E32" s="152">
        <v>0</v>
      </c>
      <c r="F32" s="152">
        <v>0</v>
      </c>
      <c r="G32" s="124">
        <v>1</v>
      </c>
      <c r="H32" s="124">
        <v>1</v>
      </c>
      <c r="I32" s="152">
        <v>0</v>
      </c>
      <c r="J32" s="152">
        <v>0</v>
      </c>
      <c r="K32" s="124" t="s">
        <v>269</v>
      </c>
      <c r="L32" s="124" t="s">
        <v>269</v>
      </c>
      <c r="M32" s="26"/>
    </row>
    <row r="33" spans="1:13" s="40" customFormat="1" ht="38.25">
      <c r="A33" s="38" t="s">
        <v>277</v>
      </c>
      <c r="B33" s="65" t="s">
        <v>174</v>
      </c>
      <c r="C33" s="152">
        <v>0</v>
      </c>
      <c r="D33" s="152">
        <v>0</v>
      </c>
      <c r="E33" s="152">
        <v>0</v>
      </c>
      <c r="F33" s="152">
        <v>0</v>
      </c>
      <c r="G33" s="122">
        <v>3</v>
      </c>
      <c r="H33" s="122">
        <v>3</v>
      </c>
      <c r="I33" s="152">
        <v>0</v>
      </c>
      <c r="J33" s="152">
        <v>0</v>
      </c>
      <c r="K33" s="122">
        <v>3</v>
      </c>
      <c r="L33" s="122">
        <v>3</v>
      </c>
      <c r="M33" s="26"/>
    </row>
    <row r="34" spans="1:13" s="151" customFormat="1" ht="25.5">
      <c r="A34" s="29" t="s">
        <v>278</v>
      </c>
      <c r="B34" s="65" t="s">
        <v>263</v>
      </c>
      <c r="C34" s="27">
        <v>0</v>
      </c>
      <c r="D34" s="27">
        <v>0</v>
      </c>
      <c r="E34" s="27">
        <v>0</v>
      </c>
      <c r="F34" s="27">
        <v>0</v>
      </c>
      <c r="G34" s="124">
        <v>11</v>
      </c>
      <c r="H34" s="124">
        <v>11</v>
      </c>
      <c r="I34" s="27">
        <v>0</v>
      </c>
      <c r="J34" s="27"/>
      <c r="K34" s="124">
        <v>11</v>
      </c>
      <c r="L34" s="124">
        <v>11</v>
      </c>
      <c r="M34" s="150"/>
    </row>
    <row r="35" spans="1:13" s="151" customFormat="1" ht="25.5">
      <c r="A35" s="29" t="s">
        <v>279</v>
      </c>
      <c r="B35" s="65" t="s">
        <v>176</v>
      </c>
      <c r="C35" s="27">
        <v>0</v>
      </c>
      <c r="D35" s="27">
        <v>0</v>
      </c>
      <c r="E35" s="27">
        <v>0</v>
      </c>
      <c r="F35" s="27">
        <v>0</v>
      </c>
      <c r="G35" s="122">
        <v>20</v>
      </c>
      <c r="H35" s="122">
        <v>20</v>
      </c>
      <c r="I35" s="27">
        <v>0</v>
      </c>
      <c r="J35" s="27">
        <v>0</v>
      </c>
      <c r="K35" s="122">
        <v>20</v>
      </c>
      <c r="L35" s="122">
        <v>20</v>
      </c>
      <c r="M35" s="150"/>
    </row>
    <row r="36" spans="1:13" s="151" customFormat="1" ht="25.5">
      <c r="A36" s="29" t="s">
        <v>280</v>
      </c>
      <c r="B36" s="65" t="s">
        <v>177</v>
      </c>
      <c r="C36" s="27">
        <v>0</v>
      </c>
      <c r="D36" s="27">
        <v>0</v>
      </c>
      <c r="E36" s="27">
        <v>0</v>
      </c>
      <c r="F36" s="27">
        <v>0</v>
      </c>
      <c r="G36" s="122">
        <v>8</v>
      </c>
      <c r="H36" s="122">
        <v>8</v>
      </c>
      <c r="I36" s="27">
        <v>0</v>
      </c>
      <c r="J36" s="27">
        <v>0</v>
      </c>
      <c r="K36" s="122">
        <v>8</v>
      </c>
      <c r="L36" s="122">
        <v>8</v>
      </c>
      <c r="M36" s="150"/>
    </row>
    <row r="37" spans="1:13" s="151" customFormat="1" ht="38.25">
      <c r="A37" s="29" t="s">
        <v>281</v>
      </c>
      <c r="B37" s="65" t="s">
        <v>183</v>
      </c>
      <c r="C37" s="27">
        <v>0</v>
      </c>
      <c r="D37" s="27">
        <v>0</v>
      </c>
      <c r="E37" s="27">
        <v>0</v>
      </c>
      <c r="F37" s="27">
        <v>0</v>
      </c>
      <c r="G37" s="122">
        <v>150</v>
      </c>
      <c r="H37" s="122">
        <v>150</v>
      </c>
      <c r="I37" s="27">
        <v>0</v>
      </c>
      <c r="J37" s="27">
        <v>0</v>
      </c>
      <c r="K37" s="122">
        <v>76</v>
      </c>
      <c r="L37" s="122">
        <v>100</v>
      </c>
      <c r="M37" s="150"/>
    </row>
    <row r="38" spans="1:13" s="151" customFormat="1" ht="25.5">
      <c r="A38" s="29" t="s">
        <v>282</v>
      </c>
      <c r="B38" s="65" t="s">
        <v>266</v>
      </c>
      <c r="C38" s="27">
        <v>0</v>
      </c>
      <c r="D38" s="27">
        <v>0</v>
      </c>
      <c r="E38" s="27">
        <v>0</v>
      </c>
      <c r="F38" s="27">
        <v>0</v>
      </c>
      <c r="G38" s="122">
        <v>50</v>
      </c>
      <c r="H38" s="122">
        <v>50</v>
      </c>
      <c r="I38" s="27">
        <v>0</v>
      </c>
      <c r="J38" s="27">
        <v>0</v>
      </c>
      <c r="K38" s="122">
        <v>50</v>
      </c>
      <c r="L38" s="122">
        <v>50</v>
      </c>
      <c r="M38" s="150"/>
    </row>
    <row r="39" spans="1:13" s="151" customFormat="1" ht="25.5">
      <c r="A39" s="29" t="s">
        <v>283</v>
      </c>
      <c r="B39" s="65" t="s">
        <v>185</v>
      </c>
      <c r="C39" s="27">
        <v>0</v>
      </c>
      <c r="D39" s="27">
        <v>0</v>
      </c>
      <c r="E39" s="27">
        <v>0</v>
      </c>
      <c r="F39" s="27">
        <v>0</v>
      </c>
      <c r="G39" s="124">
        <v>200</v>
      </c>
      <c r="H39" s="124">
        <v>200</v>
      </c>
      <c r="I39" s="27">
        <v>0</v>
      </c>
      <c r="J39" s="27">
        <v>0</v>
      </c>
      <c r="K39" s="124">
        <v>200</v>
      </c>
      <c r="L39" s="124">
        <v>200</v>
      </c>
      <c r="M39" s="150"/>
    </row>
    <row r="40" spans="1:13" s="151" customFormat="1" ht="25.5">
      <c r="A40" s="29" t="s">
        <v>284</v>
      </c>
      <c r="B40" s="65" t="s">
        <v>178</v>
      </c>
      <c r="C40" s="27">
        <v>0</v>
      </c>
      <c r="D40" s="27">
        <v>0</v>
      </c>
      <c r="E40" s="27">
        <v>0</v>
      </c>
      <c r="F40" s="27">
        <v>0</v>
      </c>
      <c r="G40" s="122">
        <v>8</v>
      </c>
      <c r="H40" s="122">
        <v>8</v>
      </c>
      <c r="I40" s="27">
        <v>0</v>
      </c>
      <c r="J40" s="27">
        <v>0</v>
      </c>
      <c r="K40" s="122">
        <v>4</v>
      </c>
      <c r="L40" s="122">
        <v>4</v>
      </c>
      <c r="M40" s="150"/>
    </row>
    <row r="41" spans="1:13" s="151" customFormat="1" ht="25.5" customHeight="1">
      <c r="A41" s="29" t="s">
        <v>285</v>
      </c>
      <c r="B41" s="65" t="s">
        <v>196</v>
      </c>
      <c r="C41" s="27">
        <v>0</v>
      </c>
      <c r="D41" s="27">
        <v>0</v>
      </c>
      <c r="E41" s="27">
        <v>0</v>
      </c>
      <c r="F41" s="27">
        <v>0</v>
      </c>
      <c r="G41" s="124">
        <v>16</v>
      </c>
      <c r="H41" s="124">
        <v>32</v>
      </c>
      <c r="I41" s="27">
        <v>0</v>
      </c>
      <c r="J41" s="27">
        <v>0</v>
      </c>
      <c r="K41" s="124">
        <v>16</v>
      </c>
      <c r="L41" s="124">
        <v>32</v>
      </c>
      <c r="M41" s="150"/>
    </row>
    <row r="42" spans="1:13" s="151" customFormat="1" ht="38.25">
      <c r="A42" s="29" t="s">
        <v>286</v>
      </c>
      <c r="B42" s="65" t="s">
        <v>197</v>
      </c>
      <c r="C42" s="27">
        <v>0</v>
      </c>
      <c r="D42" s="27">
        <v>0</v>
      </c>
      <c r="E42" s="27">
        <v>0</v>
      </c>
      <c r="F42" s="27">
        <v>0</v>
      </c>
      <c r="G42" s="124">
        <v>16</v>
      </c>
      <c r="H42" s="124">
        <v>32</v>
      </c>
      <c r="I42" s="27">
        <v>0</v>
      </c>
      <c r="J42" s="27">
        <v>0</v>
      </c>
      <c r="K42" s="124">
        <v>16</v>
      </c>
      <c r="L42" s="124">
        <v>32</v>
      </c>
      <c r="M42" s="150"/>
    </row>
    <row r="43" spans="1:13" s="151" customFormat="1" ht="25.5">
      <c r="A43" s="29" t="s">
        <v>287</v>
      </c>
      <c r="B43" s="65" t="s">
        <v>194</v>
      </c>
      <c r="C43" s="27">
        <v>0</v>
      </c>
      <c r="D43" s="27">
        <v>0</v>
      </c>
      <c r="E43" s="27">
        <v>0</v>
      </c>
      <c r="F43" s="27">
        <v>0</v>
      </c>
      <c r="G43" s="124">
        <v>16</v>
      </c>
      <c r="H43" s="124">
        <v>32</v>
      </c>
      <c r="I43" s="27">
        <v>0</v>
      </c>
      <c r="J43" s="27">
        <v>0</v>
      </c>
      <c r="K43" s="124">
        <v>16</v>
      </c>
      <c r="L43" s="124">
        <v>32</v>
      </c>
      <c r="M43" s="150"/>
    </row>
    <row r="44" spans="1:13" s="151" customFormat="1" ht="25.5" customHeight="1">
      <c r="A44" s="29" t="s">
        <v>288</v>
      </c>
      <c r="B44" s="65" t="s">
        <v>190</v>
      </c>
      <c r="C44" s="27">
        <v>0</v>
      </c>
      <c r="D44" s="27">
        <v>0</v>
      </c>
      <c r="E44" s="27">
        <v>0</v>
      </c>
      <c r="F44" s="27">
        <v>0</v>
      </c>
      <c r="G44" s="122">
        <v>20</v>
      </c>
      <c r="H44" s="122">
        <v>40</v>
      </c>
      <c r="I44" s="27">
        <v>0</v>
      </c>
      <c r="J44" s="27">
        <v>0</v>
      </c>
      <c r="K44" s="122">
        <v>20</v>
      </c>
      <c r="L44" s="122">
        <v>40</v>
      </c>
      <c r="M44" s="150"/>
    </row>
    <row r="45" spans="1:13" s="151" customFormat="1" ht="38.25">
      <c r="A45" s="29" t="s">
        <v>289</v>
      </c>
      <c r="B45" s="65" t="s">
        <v>191</v>
      </c>
      <c r="C45" s="27">
        <v>0</v>
      </c>
      <c r="D45" s="27">
        <v>0</v>
      </c>
      <c r="E45" s="27">
        <v>0</v>
      </c>
      <c r="F45" s="27">
        <v>0</v>
      </c>
      <c r="G45" s="124">
        <v>20</v>
      </c>
      <c r="H45" s="124">
        <v>40</v>
      </c>
      <c r="I45" s="27">
        <v>0</v>
      </c>
      <c r="J45" s="27">
        <v>0</v>
      </c>
      <c r="K45" s="124">
        <v>20</v>
      </c>
      <c r="L45" s="124">
        <v>40</v>
      </c>
      <c r="M45" s="150"/>
    </row>
    <row r="46" spans="1:13" s="151" customFormat="1" ht="38.25">
      <c r="A46" s="29" t="s">
        <v>290</v>
      </c>
      <c r="B46" s="65" t="s">
        <v>186</v>
      </c>
      <c r="C46" s="27">
        <v>0</v>
      </c>
      <c r="D46" s="27">
        <v>0</v>
      </c>
      <c r="E46" s="27">
        <v>0</v>
      </c>
      <c r="F46" s="27">
        <v>0</v>
      </c>
      <c r="G46" s="122">
        <v>5</v>
      </c>
      <c r="H46" s="122">
        <v>5</v>
      </c>
      <c r="I46" s="27">
        <v>0</v>
      </c>
      <c r="J46" s="27">
        <v>0</v>
      </c>
      <c r="K46" s="122">
        <v>0</v>
      </c>
      <c r="L46" s="122">
        <v>0</v>
      </c>
      <c r="M46" s="26" t="s">
        <v>294</v>
      </c>
    </row>
    <row r="47" spans="1:13" s="151" customFormat="1" ht="38.25">
      <c r="A47" s="29" t="s">
        <v>291</v>
      </c>
      <c r="B47" s="65" t="s">
        <v>187</v>
      </c>
      <c r="C47" s="27">
        <v>0</v>
      </c>
      <c r="D47" s="27">
        <v>0</v>
      </c>
      <c r="E47" s="27">
        <v>0</v>
      </c>
      <c r="F47" s="27">
        <v>0</v>
      </c>
      <c r="G47" s="122">
        <v>2</v>
      </c>
      <c r="H47" s="122">
        <v>2</v>
      </c>
      <c r="I47" s="27">
        <v>0</v>
      </c>
      <c r="J47" s="27">
        <v>0</v>
      </c>
      <c r="K47" s="122">
        <v>2</v>
      </c>
      <c r="L47" s="122">
        <v>2</v>
      </c>
      <c r="M47" s="150"/>
    </row>
    <row r="48" spans="1:13" s="151" customFormat="1" ht="38.25" customHeight="1">
      <c r="A48" s="29" t="s">
        <v>292</v>
      </c>
      <c r="B48" s="65" t="s">
        <v>188</v>
      </c>
      <c r="C48" s="27">
        <v>0</v>
      </c>
      <c r="D48" s="27">
        <v>0</v>
      </c>
      <c r="E48" s="27">
        <v>0</v>
      </c>
      <c r="F48" s="27">
        <v>0</v>
      </c>
      <c r="G48" s="122">
        <v>6</v>
      </c>
      <c r="H48" s="122">
        <v>6</v>
      </c>
      <c r="I48" s="27">
        <v>0</v>
      </c>
      <c r="J48" s="27">
        <v>0</v>
      </c>
      <c r="K48" s="122">
        <v>6</v>
      </c>
      <c r="L48" s="122">
        <v>6</v>
      </c>
      <c r="M48" s="150"/>
    </row>
    <row r="49" spans="1:13" s="151" customFormat="1" ht="38.25" customHeight="1">
      <c r="A49" s="29" t="s">
        <v>293</v>
      </c>
      <c r="B49" s="65" t="s">
        <v>189</v>
      </c>
      <c r="C49" s="27">
        <v>0</v>
      </c>
      <c r="D49" s="27">
        <v>0</v>
      </c>
      <c r="E49" s="27">
        <v>0</v>
      </c>
      <c r="F49" s="27">
        <v>0</v>
      </c>
      <c r="G49" s="124">
        <v>4</v>
      </c>
      <c r="H49" s="124">
        <v>4</v>
      </c>
      <c r="I49" s="27">
        <v>0</v>
      </c>
      <c r="J49" s="27">
        <v>0</v>
      </c>
      <c r="K49" s="124">
        <v>0</v>
      </c>
      <c r="L49" s="124">
        <v>0</v>
      </c>
      <c r="M49" s="26" t="s">
        <v>295</v>
      </c>
    </row>
  </sheetData>
  <mergeCells count="8">
    <mergeCell ref="K3:L3"/>
    <mergeCell ref="M3:M4"/>
    <mergeCell ref="A3:A4"/>
    <mergeCell ref="B3:B4"/>
    <mergeCell ref="C3:C4"/>
    <mergeCell ref="D3:D4"/>
    <mergeCell ref="E3:H3"/>
    <mergeCell ref="I3:J3"/>
  </mergeCells>
  <pageMargins left="1.1811023622047245" right="1.1811023622047245" top="1.5748031496062993" bottom="1.1811023622047245" header="0.31496062992125984" footer="0.31496062992125984"/>
  <pageSetup paperSize="9" scale="63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71"/>
  <sheetViews>
    <sheetView tabSelected="1" zoomScaleSheetLayoutView="100" workbookViewId="0"/>
  </sheetViews>
  <sheetFormatPr defaultRowHeight="12.75"/>
  <cols>
    <col min="1" max="1" width="2.7109375" style="76" customWidth="1"/>
    <col min="2" max="6" width="2.7109375" style="75" customWidth="1"/>
    <col min="7" max="8" width="30.7109375" style="75" customWidth="1"/>
    <col min="9" max="10" width="7.28515625" style="76" customWidth="1"/>
    <col min="11" max="11" width="13.140625" style="108" customWidth="1"/>
    <col min="12" max="12" width="7.28515625" style="76" customWidth="1"/>
    <col min="13" max="13" width="12.42578125" style="76" customWidth="1"/>
    <col min="14" max="14" width="7.28515625" style="76" customWidth="1"/>
    <col min="15" max="15" width="13.140625" style="76" customWidth="1"/>
    <col min="16" max="17" width="13.85546875" style="108" hidden="1" customWidth="1"/>
    <col min="18" max="18" width="15.7109375" style="108" hidden="1" customWidth="1"/>
    <col min="19" max="19" width="15.7109375" style="76" hidden="1" customWidth="1"/>
    <col min="20" max="20" width="15.28515625" style="75" customWidth="1"/>
    <col min="21" max="16384" width="9.140625" style="75"/>
  </cols>
  <sheetData>
    <row r="1" spans="1:19" s="72" customFormat="1" ht="15.75">
      <c r="A1" s="71" t="s">
        <v>296</v>
      </c>
      <c r="I1" s="73"/>
      <c r="L1" s="73"/>
      <c r="M1" s="73"/>
    </row>
    <row r="2" spans="1:19">
      <c r="A2" s="74"/>
      <c r="J2" s="75"/>
      <c r="K2" s="75"/>
      <c r="N2" s="75"/>
      <c r="O2" s="75"/>
      <c r="P2" s="75"/>
      <c r="Q2" s="75"/>
      <c r="R2" s="75"/>
      <c r="S2" s="75"/>
    </row>
    <row r="3" spans="1:19" s="72" customFormat="1" ht="15.75">
      <c r="A3" s="77" t="s">
        <v>0</v>
      </c>
      <c r="I3" s="73"/>
      <c r="L3" s="73"/>
      <c r="M3" s="73"/>
    </row>
    <row r="4" spans="1:19" ht="13.5" thickBot="1">
      <c r="A4" s="74"/>
    </row>
    <row r="5" spans="1:19" ht="27" customHeight="1">
      <c r="A5" s="167" t="s">
        <v>314</v>
      </c>
      <c r="B5" s="175"/>
      <c r="C5" s="175"/>
      <c r="D5" s="175"/>
      <c r="E5" s="175"/>
      <c r="F5" s="169"/>
      <c r="G5" s="174" t="s">
        <v>315</v>
      </c>
      <c r="H5" s="174" t="s">
        <v>122</v>
      </c>
      <c r="I5" s="174" t="s">
        <v>297</v>
      </c>
      <c r="J5" s="174"/>
      <c r="K5" s="174"/>
      <c r="L5" s="174"/>
      <c r="M5" s="167" t="s">
        <v>36</v>
      </c>
      <c r="N5" s="167" t="s">
        <v>298</v>
      </c>
      <c r="O5" s="169"/>
      <c r="P5" s="170" t="s">
        <v>168</v>
      </c>
      <c r="Q5" s="170"/>
      <c r="R5" s="171"/>
      <c r="S5" s="172" t="s">
        <v>201</v>
      </c>
    </row>
    <row r="6" spans="1:19" ht="63" customHeight="1">
      <c r="A6" s="168"/>
      <c r="B6" s="176"/>
      <c r="C6" s="176"/>
      <c r="D6" s="176"/>
      <c r="E6" s="176"/>
      <c r="F6" s="177"/>
      <c r="G6" s="174"/>
      <c r="H6" s="174"/>
      <c r="I6" s="106" t="s">
        <v>34</v>
      </c>
      <c r="J6" s="106" t="s">
        <v>39</v>
      </c>
      <c r="K6" s="106" t="s">
        <v>147</v>
      </c>
      <c r="L6" s="106" t="s">
        <v>40</v>
      </c>
      <c r="M6" s="168"/>
      <c r="N6" s="106" t="s">
        <v>39</v>
      </c>
      <c r="O6" s="106" t="s">
        <v>244</v>
      </c>
      <c r="P6" s="109" t="s">
        <v>240</v>
      </c>
      <c r="Q6" s="106" t="s">
        <v>241</v>
      </c>
      <c r="R6" s="106" t="s">
        <v>242</v>
      </c>
      <c r="S6" s="173"/>
    </row>
    <row r="7" spans="1:19" s="78" customFormat="1">
      <c r="A7" s="164">
        <v>1</v>
      </c>
      <c r="B7" s="165"/>
      <c r="C7" s="165"/>
      <c r="D7" s="165"/>
      <c r="E7" s="166"/>
      <c r="F7" s="158"/>
      <c r="G7" s="107">
        <v>2</v>
      </c>
      <c r="H7" s="107">
        <v>3</v>
      </c>
      <c r="I7" s="107">
        <v>4</v>
      </c>
      <c r="J7" s="107">
        <v>5</v>
      </c>
      <c r="K7" s="107">
        <v>6</v>
      </c>
      <c r="L7" s="107">
        <v>7</v>
      </c>
      <c r="M7" s="110">
        <v>8</v>
      </c>
      <c r="N7" s="107">
        <v>9</v>
      </c>
      <c r="O7" s="107">
        <v>10</v>
      </c>
      <c r="P7" s="112">
        <v>8</v>
      </c>
      <c r="Q7" s="107">
        <v>9</v>
      </c>
      <c r="R7" s="107">
        <v>10</v>
      </c>
      <c r="S7" s="111">
        <v>11</v>
      </c>
    </row>
    <row r="8" spans="1:19" s="82" customFormat="1" ht="25.5">
      <c r="A8" s="79"/>
      <c r="B8" s="79"/>
      <c r="C8" s="79"/>
      <c r="D8" s="79"/>
      <c r="E8" s="79"/>
      <c r="F8" s="79"/>
      <c r="G8" s="80" t="s">
        <v>316</v>
      </c>
      <c r="H8" s="80"/>
      <c r="I8" s="79"/>
      <c r="J8" s="81"/>
      <c r="K8" s="84"/>
      <c r="L8" s="81"/>
      <c r="M8" s="113"/>
      <c r="N8" s="81"/>
      <c r="O8" s="81"/>
      <c r="P8" s="115"/>
      <c r="Q8" s="84"/>
      <c r="R8" s="84"/>
      <c r="S8" s="114"/>
    </row>
    <row r="9" spans="1:19" s="82" customFormat="1" ht="12" customHeight="1">
      <c r="A9" s="79">
        <v>5</v>
      </c>
      <c r="B9" s="83" t="s">
        <v>318</v>
      </c>
      <c r="C9" s="83" t="s">
        <v>66</v>
      </c>
      <c r="D9" s="83" t="s">
        <v>8</v>
      </c>
      <c r="E9" s="79"/>
      <c r="F9" s="79"/>
      <c r="G9" s="80" t="s">
        <v>317</v>
      </c>
      <c r="H9" s="80"/>
      <c r="I9" s="79"/>
      <c r="J9" s="81"/>
      <c r="K9" s="84">
        <f>SUM(K10,K23,K35,K37,K39,K42,K45,K50,K58,K62,K65)</f>
        <v>6261249062</v>
      </c>
      <c r="L9" s="81"/>
      <c r="M9" s="113"/>
      <c r="N9" s="81"/>
      <c r="O9" s="84">
        <f>SUM(O10,O23,O35,O37,O39,O42,O45,O50,O58,O62,O65)</f>
        <v>14642220711</v>
      </c>
      <c r="P9" s="115"/>
      <c r="Q9" s="84"/>
      <c r="R9" s="84"/>
      <c r="S9" s="114"/>
    </row>
    <row r="10" spans="1:19" s="82" customFormat="1" ht="25.5">
      <c r="A10" s="79">
        <v>5</v>
      </c>
      <c r="B10" s="79" t="s">
        <v>318</v>
      </c>
      <c r="C10" s="83" t="s">
        <v>66</v>
      </c>
      <c r="D10" s="83" t="s">
        <v>8</v>
      </c>
      <c r="E10" s="83" t="s">
        <v>66</v>
      </c>
      <c r="F10" s="79"/>
      <c r="G10" s="80" t="s">
        <v>67</v>
      </c>
      <c r="H10" s="80" t="s">
        <v>305</v>
      </c>
      <c r="I10" s="79"/>
      <c r="J10" s="116">
        <v>100</v>
      </c>
      <c r="K10" s="84">
        <f>SUM(K11:K22)</f>
        <v>1478000000</v>
      </c>
      <c r="L10" s="81"/>
      <c r="M10" s="113"/>
      <c r="N10" s="116">
        <v>100</v>
      </c>
      <c r="O10" s="84">
        <f>SUM(O11:O22)</f>
        <v>1802000000</v>
      </c>
      <c r="P10" s="115"/>
      <c r="Q10" s="84"/>
      <c r="R10" s="84"/>
      <c r="S10" s="114"/>
    </row>
    <row r="11" spans="1:19" s="69" customFormat="1" ht="25.5">
      <c r="A11" s="66">
        <v>5</v>
      </c>
      <c r="B11" s="66" t="s">
        <v>318</v>
      </c>
      <c r="C11" s="85" t="s">
        <v>66</v>
      </c>
      <c r="D11" s="85" t="s">
        <v>8</v>
      </c>
      <c r="E11" s="85" t="s">
        <v>66</v>
      </c>
      <c r="F11" s="85" t="s">
        <v>66</v>
      </c>
      <c r="G11" s="86" t="s">
        <v>69</v>
      </c>
      <c r="H11" s="86" t="s">
        <v>70</v>
      </c>
      <c r="I11" s="66" t="s">
        <v>37</v>
      </c>
      <c r="J11" s="117">
        <v>2000</v>
      </c>
      <c r="K11" s="67">
        <v>10000000</v>
      </c>
      <c r="L11" s="68" t="s">
        <v>47</v>
      </c>
      <c r="M11" s="118"/>
      <c r="N11" s="117">
        <v>2200</v>
      </c>
      <c r="O11" s="67">
        <v>17000000</v>
      </c>
      <c r="P11" s="119"/>
      <c r="Q11" s="67"/>
      <c r="R11" s="67"/>
      <c r="S11" s="120"/>
    </row>
    <row r="12" spans="1:19" s="69" customFormat="1" ht="25.5">
      <c r="A12" s="66">
        <v>5</v>
      </c>
      <c r="B12" s="66" t="s">
        <v>318</v>
      </c>
      <c r="C12" s="85" t="s">
        <v>66</v>
      </c>
      <c r="D12" s="85" t="s">
        <v>8</v>
      </c>
      <c r="E12" s="85" t="s">
        <v>66</v>
      </c>
      <c r="F12" s="85" t="s">
        <v>8</v>
      </c>
      <c r="G12" s="86" t="s">
        <v>71</v>
      </c>
      <c r="H12" s="86" t="s">
        <v>128</v>
      </c>
      <c r="I12" s="66" t="s">
        <v>37</v>
      </c>
      <c r="J12" s="117">
        <v>12</v>
      </c>
      <c r="K12" s="67">
        <v>225000000</v>
      </c>
      <c r="L12" s="68" t="s">
        <v>47</v>
      </c>
      <c r="M12" s="118"/>
      <c r="N12" s="117">
        <v>12</v>
      </c>
      <c r="O12" s="67">
        <v>280000000</v>
      </c>
      <c r="P12" s="119"/>
      <c r="Q12" s="67"/>
      <c r="R12" s="67"/>
      <c r="S12" s="120"/>
    </row>
    <row r="13" spans="1:19" s="69" customFormat="1" ht="25.5">
      <c r="A13" s="66">
        <v>5</v>
      </c>
      <c r="B13" s="66" t="s">
        <v>318</v>
      </c>
      <c r="C13" s="85" t="s">
        <v>66</v>
      </c>
      <c r="D13" s="85" t="s">
        <v>8</v>
      </c>
      <c r="E13" s="66" t="s">
        <v>66</v>
      </c>
      <c r="F13" s="85" t="s">
        <v>88</v>
      </c>
      <c r="G13" s="86" t="s">
        <v>76</v>
      </c>
      <c r="H13" s="86" t="s">
        <v>98</v>
      </c>
      <c r="I13" s="66" t="s">
        <v>37</v>
      </c>
      <c r="J13" s="117">
        <v>65</v>
      </c>
      <c r="K13" s="67">
        <v>70000000</v>
      </c>
      <c r="L13" s="68" t="s">
        <v>47</v>
      </c>
      <c r="M13" s="118"/>
      <c r="N13" s="117">
        <v>70</v>
      </c>
      <c r="O13" s="67">
        <v>135000000</v>
      </c>
      <c r="P13" s="119"/>
      <c r="Q13" s="67"/>
      <c r="R13" s="67"/>
      <c r="S13" s="120"/>
    </row>
    <row r="14" spans="1:19" s="69" customFormat="1" ht="38.25">
      <c r="A14" s="66">
        <v>5</v>
      </c>
      <c r="B14" s="66" t="s">
        <v>318</v>
      </c>
      <c r="C14" s="85" t="s">
        <v>66</v>
      </c>
      <c r="D14" s="85" t="s">
        <v>8</v>
      </c>
      <c r="E14" s="66" t="s">
        <v>66</v>
      </c>
      <c r="F14" s="85" t="s">
        <v>12</v>
      </c>
      <c r="G14" s="86" t="s">
        <v>319</v>
      </c>
      <c r="H14" s="86" t="s">
        <v>320</v>
      </c>
      <c r="I14" s="66" t="s">
        <v>37</v>
      </c>
      <c r="J14" s="117">
        <v>12</v>
      </c>
      <c r="K14" s="67">
        <v>628000000</v>
      </c>
      <c r="L14" s="68" t="s">
        <v>47</v>
      </c>
      <c r="M14" s="118"/>
      <c r="N14" s="117">
        <v>12</v>
      </c>
      <c r="O14" s="67">
        <v>668000000</v>
      </c>
      <c r="P14" s="119"/>
      <c r="Q14" s="67"/>
      <c r="R14" s="67"/>
      <c r="S14" s="120"/>
    </row>
    <row r="15" spans="1:19" s="69" customFormat="1" ht="25.5">
      <c r="A15" s="66">
        <v>5</v>
      </c>
      <c r="B15" s="66" t="s">
        <v>318</v>
      </c>
      <c r="C15" s="85" t="s">
        <v>66</v>
      </c>
      <c r="D15" s="85" t="s">
        <v>8</v>
      </c>
      <c r="E15" s="66" t="s">
        <v>66</v>
      </c>
      <c r="F15" s="85">
        <v>10</v>
      </c>
      <c r="G15" s="86" t="s">
        <v>73</v>
      </c>
      <c r="H15" s="86" t="s">
        <v>95</v>
      </c>
      <c r="I15" s="66" t="s">
        <v>37</v>
      </c>
      <c r="J15" s="117">
        <v>12</v>
      </c>
      <c r="K15" s="67">
        <v>45000000</v>
      </c>
      <c r="L15" s="68" t="s">
        <v>47</v>
      </c>
      <c r="M15" s="118"/>
      <c r="N15" s="117">
        <v>12</v>
      </c>
      <c r="O15" s="67">
        <v>50000000</v>
      </c>
      <c r="P15" s="119"/>
      <c r="Q15" s="67"/>
      <c r="R15" s="67"/>
      <c r="S15" s="120"/>
    </row>
    <row r="16" spans="1:19" s="69" customFormat="1" ht="25.5">
      <c r="A16" s="66">
        <v>5</v>
      </c>
      <c r="B16" s="66" t="s">
        <v>318</v>
      </c>
      <c r="C16" s="85" t="s">
        <v>66</v>
      </c>
      <c r="D16" s="85" t="s">
        <v>8</v>
      </c>
      <c r="E16" s="66" t="s">
        <v>66</v>
      </c>
      <c r="F16" s="85">
        <v>11</v>
      </c>
      <c r="G16" s="86" t="s">
        <v>74</v>
      </c>
      <c r="H16" s="86" t="s">
        <v>129</v>
      </c>
      <c r="I16" s="66" t="s">
        <v>37</v>
      </c>
      <c r="J16" s="117">
        <v>1</v>
      </c>
      <c r="K16" s="67">
        <v>40000000</v>
      </c>
      <c r="L16" s="68" t="s">
        <v>47</v>
      </c>
      <c r="M16" s="118"/>
      <c r="N16" s="117">
        <v>1</v>
      </c>
      <c r="O16" s="67">
        <v>47000000</v>
      </c>
      <c r="P16" s="119"/>
      <c r="Q16" s="67"/>
      <c r="R16" s="67"/>
      <c r="S16" s="120"/>
    </row>
    <row r="17" spans="1:19" s="69" customFormat="1" ht="25.5">
      <c r="A17" s="66">
        <v>5</v>
      </c>
      <c r="B17" s="66" t="s">
        <v>318</v>
      </c>
      <c r="C17" s="85" t="s">
        <v>66</v>
      </c>
      <c r="D17" s="85" t="s">
        <v>8</v>
      </c>
      <c r="E17" s="66" t="s">
        <v>66</v>
      </c>
      <c r="F17" s="85">
        <v>12</v>
      </c>
      <c r="G17" s="86" t="s">
        <v>75</v>
      </c>
      <c r="H17" s="86" t="s">
        <v>96</v>
      </c>
      <c r="I17" s="66" t="s">
        <v>37</v>
      </c>
      <c r="J17" s="117">
        <v>12</v>
      </c>
      <c r="K17" s="67">
        <v>15000000</v>
      </c>
      <c r="L17" s="68" t="s">
        <v>47</v>
      </c>
      <c r="M17" s="118"/>
      <c r="N17" s="117">
        <v>12</v>
      </c>
      <c r="O17" s="67">
        <v>17000000</v>
      </c>
      <c r="P17" s="119"/>
      <c r="Q17" s="67"/>
      <c r="R17" s="67"/>
      <c r="S17" s="120"/>
    </row>
    <row r="18" spans="1:19" s="69" customFormat="1" ht="25.5">
      <c r="A18" s="66">
        <v>5</v>
      </c>
      <c r="B18" s="66" t="s">
        <v>318</v>
      </c>
      <c r="C18" s="85" t="s">
        <v>66</v>
      </c>
      <c r="D18" s="85" t="s">
        <v>8</v>
      </c>
      <c r="E18" s="66" t="s">
        <v>66</v>
      </c>
      <c r="F18" s="85">
        <v>14</v>
      </c>
      <c r="G18" s="86" t="s">
        <v>77</v>
      </c>
      <c r="H18" s="86" t="s">
        <v>97</v>
      </c>
      <c r="I18" s="66" t="s">
        <v>37</v>
      </c>
      <c r="J18" s="117">
        <v>6</v>
      </c>
      <c r="K18" s="67">
        <v>27000000</v>
      </c>
      <c r="L18" s="68" t="s">
        <v>47</v>
      </c>
      <c r="M18" s="118"/>
      <c r="N18" s="117">
        <v>6</v>
      </c>
      <c r="O18" s="67">
        <v>33000000</v>
      </c>
      <c r="P18" s="119"/>
      <c r="Q18" s="67"/>
      <c r="R18" s="67"/>
      <c r="S18" s="120"/>
    </row>
    <row r="19" spans="1:19" s="69" customFormat="1" ht="25.5">
      <c r="A19" s="66">
        <v>5</v>
      </c>
      <c r="B19" s="66" t="s">
        <v>318</v>
      </c>
      <c r="C19" s="85" t="s">
        <v>66</v>
      </c>
      <c r="D19" s="85" t="s">
        <v>8</v>
      </c>
      <c r="E19" s="66" t="s">
        <v>66</v>
      </c>
      <c r="F19" s="85">
        <v>16</v>
      </c>
      <c r="G19" s="86" t="s">
        <v>78</v>
      </c>
      <c r="H19" s="86" t="s">
        <v>99</v>
      </c>
      <c r="I19" s="66" t="s">
        <v>37</v>
      </c>
      <c r="J19" s="117">
        <v>12</v>
      </c>
      <c r="K19" s="67">
        <v>35000000</v>
      </c>
      <c r="L19" s="68" t="s">
        <v>47</v>
      </c>
      <c r="M19" s="118"/>
      <c r="N19" s="117">
        <v>12</v>
      </c>
      <c r="O19" s="67">
        <v>35000000</v>
      </c>
      <c r="P19" s="119"/>
      <c r="Q19" s="67"/>
      <c r="R19" s="67"/>
      <c r="S19" s="120"/>
    </row>
    <row r="20" spans="1:19" s="69" customFormat="1" ht="38.25">
      <c r="A20" s="66">
        <v>5</v>
      </c>
      <c r="B20" s="66" t="s">
        <v>318</v>
      </c>
      <c r="C20" s="85" t="s">
        <v>66</v>
      </c>
      <c r="D20" s="85" t="s">
        <v>8</v>
      </c>
      <c r="E20" s="66" t="s">
        <v>66</v>
      </c>
      <c r="F20" s="85">
        <v>17</v>
      </c>
      <c r="G20" s="86" t="s">
        <v>124</v>
      </c>
      <c r="H20" s="86" t="s">
        <v>130</v>
      </c>
      <c r="I20" s="66" t="s">
        <v>112</v>
      </c>
      <c r="J20" s="117">
        <v>1</v>
      </c>
      <c r="K20" s="67">
        <v>335000000</v>
      </c>
      <c r="L20" s="68" t="s">
        <v>47</v>
      </c>
      <c r="M20" s="118"/>
      <c r="N20" s="117">
        <v>1</v>
      </c>
      <c r="O20" s="67">
        <v>359000000</v>
      </c>
      <c r="P20" s="119"/>
      <c r="Q20" s="67"/>
      <c r="R20" s="67"/>
      <c r="S20" s="120"/>
    </row>
    <row r="21" spans="1:19" s="69" customFormat="1" ht="25.5">
      <c r="A21" s="66">
        <v>5</v>
      </c>
      <c r="B21" s="66" t="s">
        <v>318</v>
      </c>
      <c r="C21" s="85" t="s">
        <v>66</v>
      </c>
      <c r="D21" s="85" t="s">
        <v>8</v>
      </c>
      <c r="E21" s="66" t="s">
        <v>66</v>
      </c>
      <c r="F21" s="85">
        <v>18</v>
      </c>
      <c r="G21" s="86" t="s">
        <v>143</v>
      </c>
      <c r="H21" s="86" t="s">
        <v>144</v>
      </c>
      <c r="I21" s="66" t="s">
        <v>37</v>
      </c>
      <c r="J21" s="117">
        <v>12</v>
      </c>
      <c r="K21" s="67">
        <v>40000000</v>
      </c>
      <c r="L21" s="68" t="s">
        <v>47</v>
      </c>
      <c r="M21" s="118"/>
      <c r="N21" s="117">
        <v>12</v>
      </c>
      <c r="O21" s="67">
        <v>151000000</v>
      </c>
      <c r="P21" s="119"/>
      <c r="Q21" s="67"/>
      <c r="R21" s="67"/>
      <c r="S21" s="120"/>
    </row>
    <row r="22" spans="1:19" s="69" customFormat="1" ht="25.5">
      <c r="A22" s="66">
        <v>5</v>
      </c>
      <c r="B22" s="66" t="s">
        <v>318</v>
      </c>
      <c r="C22" s="85" t="s">
        <v>66</v>
      </c>
      <c r="D22" s="85" t="s">
        <v>8</v>
      </c>
      <c r="E22" s="66" t="s">
        <v>66</v>
      </c>
      <c r="F22" s="85">
        <v>19</v>
      </c>
      <c r="G22" s="86" t="s">
        <v>321</v>
      </c>
      <c r="H22" s="86" t="s">
        <v>322</v>
      </c>
      <c r="I22" s="66" t="s">
        <v>37</v>
      </c>
      <c r="J22" s="117">
        <v>12</v>
      </c>
      <c r="K22" s="67">
        <v>8000000</v>
      </c>
      <c r="L22" s="68" t="s">
        <v>47</v>
      </c>
      <c r="M22" s="118"/>
      <c r="N22" s="117">
        <v>12</v>
      </c>
      <c r="O22" s="67">
        <v>10000000</v>
      </c>
      <c r="P22" s="119"/>
      <c r="Q22" s="67"/>
      <c r="R22" s="67"/>
      <c r="S22" s="120"/>
    </row>
    <row r="23" spans="1:19" s="82" customFormat="1" ht="25.5">
      <c r="A23" s="79">
        <v>5</v>
      </c>
      <c r="B23" s="79" t="s">
        <v>318</v>
      </c>
      <c r="C23" s="83" t="s">
        <v>66</v>
      </c>
      <c r="D23" s="83" t="s">
        <v>8</v>
      </c>
      <c r="E23" s="83" t="s">
        <v>8</v>
      </c>
      <c r="F23" s="79"/>
      <c r="G23" s="80" t="s">
        <v>80</v>
      </c>
      <c r="H23" s="80" t="s">
        <v>306</v>
      </c>
      <c r="I23" s="79"/>
      <c r="J23" s="116">
        <v>100</v>
      </c>
      <c r="K23" s="84">
        <f>SUM(K24:K34)</f>
        <v>540500000</v>
      </c>
      <c r="L23" s="81"/>
      <c r="M23" s="113"/>
      <c r="N23" s="116">
        <v>100</v>
      </c>
      <c r="O23" s="84">
        <f>SUM(O24:O34)</f>
        <v>1557000000</v>
      </c>
      <c r="P23" s="115"/>
      <c r="Q23" s="84"/>
      <c r="R23" s="84"/>
      <c r="S23" s="114"/>
    </row>
    <row r="24" spans="1:19" s="69" customFormat="1" ht="25.5">
      <c r="A24" s="66">
        <v>5</v>
      </c>
      <c r="B24" s="66" t="s">
        <v>318</v>
      </c>
      <c r="C24" s="85" t="s">
        <v>66</v>
      </c>
      <c r="D24" s="85" t="s">
        <v>8</v>
      </c>
      <c r="E24" s="66" t="s">
        <v>8</v>
      </c>
      <c r="F24" s="159">
        <v>17</v>
      </c>
      <c r="G24" s="86" t="s">
        <v>83</v>
      </c>
      <c r="H24" s="86" t="s">
        <v>102</v>
      </c>
      <c r="I24" s="66" t="s">
        <v>37</v>
      </c>
      <c r="J24" s="117">
        <v>1</v>
      </c>
      <c r="K24" s="67">
        <v>45000000</v>
      </c>
      <c r="L24" s="68" t="s">
        <v>47</v>
      </c>
      <c r="M24" s="118"/>
      <c r="N24" s="117">
        <v>1</v>
      </c>
      <c r="O24" s="67">
        <v>73000000</v>
      </c>
      <c r="P24" s="119"/>
      <c r="Q24" s="67"/>
      <c r="R24" s="67"/>
      <c r="S24" s="120"/>
    </row>
    <row r="25" spans="1:19" s="69" customFormat="1" ht="25.5">
      <c r="A25" s="66">
        <v>5</v>
      </c>
      <c r="B25" s="66" t="s">
        <v>318</v>
      </c>
      <c r="C25" s="85" t="s">
        <v>66</v>
      </c>
      <c r="D25" s="85" t="s">
        <v>8</v>
      </c>
      <c r="E25" s="66" t="s">
        <v>8</v>
      </c>
      <c r="F25" s="159">
        <v>19</v>
      </c>
      <c r="G25" s="86" t="s">
        <v>84</v>
      </c>
      <c r="H25" s="86" t="s">
        <v>103</v>
      </c>
      <c r="I25" s="66" t="s">
        <v>37</v>
      </c>
      <c r="J25" s="117">
        <v>27</v>
      </c>
      <c r="K25" s="67">
        <v>320500000</v>
      </c>
      <c r="L25" s="68" t="s">
        <v>47</v>
      </c>
      <c r="M25" s="118"/>
      <c r="N25" s="117">
        <v>30</v>
      </c>
      <c r="O25" s="67">
        <v>393000000</v>
      </c>
      <c r="P25" s="119"/>
      <c r="Q25" s="67"/>
      <c r="R25" s="67"/>
      <c r="S25" s="120"/>
    </row>
    <row r="26" spans="1:19" s="69" customFormat="1" ht="25.5">
      <c r="A26" s="66">
        <v>5</v>
      </c>
      <c r="B26" s="66" t="s">
        <v>318</v>
      </c>
      <c r="C26" s="85" t="s">
        <v>66</v>
      </c>
      <c r="D26" s="85" t="s">
        <v>8</v>
      </c>
      <c r="E26" s="66" t="s">
        <v>8</v>
      </c>
      <c r="F26" s="159">
        <v>23</v>
      </c>
      <c r="G26" s="86" t="s">
        <v>113</v>
      </c>
      <c r="H26" s="86" t="s">
        <v>105</v>
      </c>
      <c r="I26" s="66" t="s">
        <v>37</v>
      </c>
      <c r="J26" s="117">
        <v>52</v>
      </c>
      <c r="K26" s="67">
        <v>30000000</v>
      </c>
      <c r="L26" s="68" t="s">
        <v>47</v>
      </c>
      <c r="M26" s="118"/>
      <c r="N26" s="117">
        <v>54</v>
      </c>
      <c r="O26" s="67">
        <v>34000000</v>
      </c>
      <c r="P26" s="119"/>
      <c r="Q26" s="67"/>
      <c r="R26" s="67"/>
      <c r="S26" s="120"/>
    </row>
    <row r="27" spans="1:19" s="69" customFormat="1" ht="25.5">
      <c r="A27" s="66">
        <v>5</v>
      </c>
      <c r="B27" s="66" t="s">
        <v>318</v>
      </c>
      <c r="C27" s="85" t="s">
        <v>66</v>
      </c>
      <c r="D27" s="85" t="s">
        <v>8</v>
      </c>
      <c r="E27" s="66" t="s">
        <v>8</v>
      </c>
      <c r="F27" s="159">
        <v>25</v>
      </c>
      <c r="G27" s="86" t="s">
        <v>85</v>
      </c>
      <c r="H27" s="86" t="s">
        <v>104</v>
      </c>
      <c r="I27" s="66" t="s">
        <v>37</v>
      </c>
      <c r="J27" s="117">
        <v>1</v>
      </c>
      <c r="K27" s="67">
        <v>90000000</v>
      </c>
      <c r="L27" s="68" t="s">
        <v>47</v>
      </c>
      <c r="M27" s="118"/>
      <c r="N27" s="117">
        <v>1</v>
      </c>
      <c r="O27" s="67">
        <v>163000000</v>
      </c>
      <c r="P27" s="119"/>
      <c r="Q27" s="67"/>
      <c r="R27" s="67"/>
      <c r="S27" s="120"/>
    </row>
    <row r="28" spans="1:19" s="69" customFormat="1" ht="25.5">
      <c r="A28" s="66">
        <v>5</v>
      </c>
      <c r="B28" s="66" t="s">
        <v>318</v>
      </c>
      <c r="C28" s="85" t="s">
        <v>66</v>
      </c>
      <c r="D28" s="85" t="s">
        <v>8</v>
      </c>
      <c r="E28" s="66" t="s">
        <v>8</v>
      </c>
      <c r="F28" s="159">
        <v>42</v>
      </c>
      <c r="G28" s="86" t="s">
        <v>323</v>
      </c>
      <c r="H28" s="86" t="s">
        <v>134</v>
      </c>
      <c r="I28" s="66" t="s">
        <v>37</v>
      </c>
      <c r="J28" s="117">
        <v>22</v>
      </c>
      <c r="K28" s="67">
        <v>20000000</v>
      </c>
      <c r="L28" s="68" t="s">
        <v>47</v>
      </c>
      <c r="M28" s="118"/>
      <c r="N28" s="117">
        <v>24</v>
      </c>
      <c r="O28" s="67">
        <v>22000000</v>
      </c>
      <c r="P28" s="119"/>
      <c r="Q28" s="67"/>
      <c r="R28" s="67"/>
      <c r="S28" s="120"/>
    </row>
    <row r="29" spans="1:19" s="69" customFormat="1" ht="25.5">
      <c r="A29" s="66">
        <v>5</v>
      </c>
      <c r="B29" s="66" t="s">
        <v>318</v>
      </c>
      <c r="C29" s="85" t="s">
        <v>66</v>
      </c>
      <c r="D29" s="85" t="s">
        <v>8</v>
      </c>
      <c r="E29" s="66" t="s">
        <v>8</v>
      </c>
      <c r="F29" s="159">
        <v>43</v>
      </c>
      <c r="G29" s="86" t="s">
        <v>118</v>
      </c>
      <c r="H29" s="86" t="s">
        <v>120</v>
      </c>
      <c r="I29" s="66" t="s">
        <v>37</v>
      </c>
      <c r="J29" s="117">
        <v>30</v>
      </c>
      <c r="K29" s="67">
        <v>35000000</v>
      </c>
      <c r="L29" s="68" t="s">
        <v>47</v>
      </c>
      <c r="M29" s="118"/>
      <c r="N29" s="117">
        <v>34</v>
      </c>
      <c r="O29" s="67">
        <v>50000000</v>
      </c>
      <c r="P29" s="119"/>
      <c r="Q29" s="67"/>
      <c r="R29" s="67"/>
      <c r="S29" s="120"/>
    </row>
    <row r="30" spans="1:19" s="69" customFormat="1" ht="25.5">
      <c r="A30" s="66">
        <v>5</v>
      </c>
      <c r="B30" s="66" t="s">
        <v>318</v>
      </c>
      <c r="C30" s="85" t="s">
        <v>66</v>
      </c>
      <c r="D30" s="85" t="s">
        <v>8</v>
      </c>
      <c r="E30" s="66" t="s">
        <v>8</v>
      </c>
      <c r="F30" s="66" t="s">
        <v>299</v>
      </c>
      <c r="G30" s="86" t="s">
        <v>86</v>
      </c>
      <c r="H30" s="86" t="s">
        <v>106</v>
      </c>
      <c r="I30" s="66" t="s">
        <v>37</v>
      </c>
      <c r="J30" s="117">
        <v>0</v>
      </c>
      <c r="K30" s="67">
        <v>0</v>
      </c>
      <c r="L30" s="68" t="s">
        <v>47</v>
      </c>
      <c r="M30" s="118"/>
      <c r="N30" s="117">
        <v>1</v>
      </c>
      <c r="O30" s="67">
        <v>168000000</v>
      </c>
      <c r="P30" s="119"/>
      <c r="Q30" s="67"/>
      <c r="R30" s="67"/>
      <c r="S30" s="120"/>
    </row>
    <row r="31" spans="1:19" s="69" customFormat="1" ht="25.5">
      <c r="A31" s="66">
        <v>5</v>
      </c>
      <c r="B31" s="66" t="s">
        <v>318</v>
      </c>
      <c r="C31" s="85" t="s">
        <v>66</v>
      </c>
      <c r="D31" s="85" t="s">
        <v>8</v>
      </c>
      <c r="E31" s="85" t="s">
        <v>8</v>
      </c>
      <c r="F31" s="66" t="s">
        <v>299</v>
      </c>
      <c r="G31" s="86" t="s">
        <v>131</v>
      </c>
      <c r="H31" s="86" t="s">
        <v>146</v>
      </c>
      <c r="I31" s="68" t="s">
        <v>37</v>
      </c>
      <c r="J31" s="117">
        <v>0</v>
      </c>
      <c r="K31" s="67">
        <v>0</v>
      </c>
      <c r="L31" s="68" t="s">
        <v>47</v>
      </c>
      <c r="M31" s="118"/>
      <c r="N31" s="117">
        <v>1</v>
      </c>
      <c r="O31" s="67">
        <v>301000000</v>
      </c>
      <c r="P31" s="119"/>
      <c r="Q31" s="67"/>
      <c r="R31" s="67"/>
      <c r="S31" s="120"/>
    </row>
    <row r="32" spans="1:19" s="69" customFormat="1" ht="17.25" customHeight="1">
      <c r="A32" s="66">
        <v>5</v>
      </c>
      <c r="B32" s="66" t="s">
        <v>318</v>
      </c>
      <c r="C32" s="85" t="s">
        <v>66</v>
      </c>
      <c r="D32" s="85" t="s">
        <v>8</v>
      </c>
      <c r="E32" s="85" t="s">
        <v>8</v>
      </c>
      <c r="F32" s="66" t="s">
        <v>299</v>
      </c>
      <c r="G32" s="86" t="s">
        <v>125</v>
      </c>
      <c r="H32" s="86" t="s">
        <v>101</v>
      </c>
      <c r="I32" s="68" t="s">
        <v>37</v>
      </c>
      <c r="J32" s="117">
        <v>0</v>
      </c>
      <c r="K32" s="67">
        <v>0</v>
      </c>
      <c r="L32" s="68" t="s">
        <v>47</v>
      </c>
      <c r="M32" s="118"/>
      <c r="N32" s="117">
        <v>25</v>
      </c>
      <c r="O32" s="67">
        <v>112000000</v>
      </c>
      <c r="P32" s="119"/>
      <c r="Q32" s="67"/>
      <c r="R32" s="67"/>
      <c r="S32" s="120"/>
    </row>
    <row r="33" spans="1:20" s="69" customFormat="1" ht="25.5">
      <c r="A33" s="66">
        <v>5</v>
      </c>
      <c r="B33" s="66" t="s">
        <v>318</v>
      </c>
      <c r="C33" s="85" t="s">
        <v>66</v>
      </c>
      <c r="D33" s="85" t="s">
        <v>8</v>
      </c>
      <c r="E33" s="85" t="s">
        <v>8</v>
      </c>
      <c r="F33" s="66" t="s">
        <v>299</v>
      </c>
      <c r="G33" s="86" t="s">
        <v>82</v>
      </c>
      <c r="H33" s="86" t="s">
        <v>132</v>
      </c>
      <c r="I33" s="68" t="s">
        <v>37</v>
      </c>
      <c r="J33" s="117">
        <v>0</v>
      </c>
      <c r="K33" s="67">
        <v>0</v>
      </c>
      <c r="L33" s="68" t="s">
        <v>47</v>
      </c>
      <c r="M33" s="118"/>
      <c r="N33" s="117">
        <v>4</v>
      </c>
      <c r="O33" s="67">
        <v>129000000</v>
      </c>
      <c r="P33" s="119"/>
      <c r="Q33" s="67"/>
      <c r="R33" s="67"/>
      <c r="S33" s="120"/>
    </row>
    <row r="34" spans="1:20" s="69" customFormat="1" ht="25.5">
      <c r="A34" s="66">
        <v>5</v>
      </c>
      <c r="B34" s="66" t="s">
        <v>318</v>
      </c>
      <c r="C34" s="85" t="s">
        <v>66</v>
      </c>
      <c r="D34" s="85" t="s">
        <v>8</v>
      </c>
      <c r="E34" s="85" t="s">
        <v>8</v>
      </c>
      <c r="F34" s="66" t="s">
        <v>299</v>
      </c>
      <c r="G34" s="86" t="s">
        <v>167</v>
      </c>
      <c r="H34" s="86" t="s">
        <v>162</v>
      </c>
      <c r="I34" s="68" t="s">
        <v>37</v>
      </c>
      <c r="J34" s="117">
        <v>0</v>
      </c>
      <c r="K34" s="67">
        <v>0</v>
      </c>
      <c r="L34" s="68" t="s">
        <v>47</v>
      </c>
      <c r="M34" s="118"/>
      <c r="N34" s="117">
        <v>2</v>
      </c>
      <c r="O34" s="67">
        <v>112000000</v>
      </c>
      <c r="P34" s="119"/>
      <c r="Q34" s="67"/>
      <c r="R34" s="67"/>
      <c r="S34" s="120"/>
    </row>
    <row r="35" spans="1:20" s="82" customFormat="1" ht="25.5">
      <c r="A35" s="79">
        <v>5</v>
      </c>
      <c r="B35" s="79" t="s">
        <v>318</v>
      </c>
      <c r="C35" s="83" t="s">
        <v>66</v>
      </c>
      <c r="D35" s="83" t="s">
        <v>8</v>
      </c>
      <c r="E35" s="83" t="s">
        <v>88</v>
      </c>
      <c r="F35" s="79"/>
      <c r="G35" s="80" t="s">
        <v>89</v>
      </c>
      <c r="H35" s="80" t="s">
        <v>307</v>
      </c>
      <c r="I35" s="79"/>
      <c r="J35" s="116">
        <v>100</v>
      </c>
      <c r="K35" s="84">
        <f>SUM(K36)</f>
        <v>32400000</v>
      </c>
      <c r="L35" s="81"/>
      <c r="M35" s="113"/>
      <c r="N35" s="116">
        <v>100</v>
      </c>
      <c r="O35" s="84">
        <f>SUM(O36)</f>
        <v>50000000</v>
      </c>
      <c r="P35" s="115"/>
      <c r="Q35" s="84"/>
      <c r="R35" s="84"/>
      <c r="S35" s="114"/>
    </row>
    <row r="36" spans="1:20" s="69" customFormat="1" ht="25.5">
      <c r="A36" s="66">
        <v>5</v>
      </c>
      <c r="B36" s="66" t="s">
        <v>318</v>
      </c>
      <c r="C36" s="85" t="s">
        <v>66</v>
      </c>
      <c r="D36" s="85" t="s">
        <v>8</v>
      </c>
      <c r="E36" s="85" t="s">
        <v>88</v>
      </c>
      <c r="F36" s="85" t="s">
        <v>8</v>
      </c>
      <c r="G36" s="86" t="s">
        <v>126</v>
      </c>
      <c r="H36" s="86" t="s">
        <v>127</v>
      </c>
      <c r="I36" s="66" t="s">
        <v>37</v>
      </c>
      <c r="J36" s="117">
        <v>60</v>
      </c>
      <c r="K36" s="67">
        <v>32400000</v>
      </c>
      <c r="L36" s="68" t="s">
        <v>47</v>
      </c>
      <c r="M36" s="118"/>
      <c r="N36" s="117">
        <v>80</v>
      </c>
      <c r="O36" s="67">
        <v>50000000</v>
      </c>
      <c r="P36" s="119"/>
      <c r="Q36" s="67"/>
      <c r="R36" s="67"/>
      <c r="S36" s="120"/>
    </row>
    <row r="37" spans="1:20" s="82" customFormat="1" ht="25.5">
      <c r="A37" s="79">
        <v>5</v>
      </c>
      <c r="B37" s="79" t="s">
        <v>318</v>
      </c>
      <c r="C37" s="83" t="s">
        <v>66</v>
      </c>
      <c r="D37" s="83" t="s">
        <v>8</v>
      </c>
      <c r="E37" s="83" t="s">
        <v>9</v>
      </c>
      <c r="F37" s="79"/>
      <c r="G37" s="80" t="s">
        <v>91</v>
      </c>
      <c r="H37" s="80" t="s">
        <v>308</v>
      </c>
      <c r="I37" s="79"/>
      <c r="J37" s="116">
        <v>100</v>
      </c>
      <c r="K37" s="84">
        <f>SUM(K38)</f>
        <v>52000000</v>
      </c>
      <c r="L37" s="81"/>
      <c r="M37" s="113"/>
      <c r="N37" s="116">
        <v>100</v>
      </c>
      <c r="O37" s="84">
        <f>SUM(O38)</f>
        <v>90000000</v>
      </c>
      <c r="P37" s="115"/>
      <c r="Q37" s="84"/>
      <c r="R37" s="84"/>
      <c r="S37" s="114"/>
    </row>
    <row r="38" spans="1:20" s="69" customFormat="1" ht="38.25">
      <c r="A38" s="66">
        <v>5</v>
      </c>
      <c r="B38" s="66" t="s">
        <v>318</v>
      </c>
      <c r="C38" s="85" t="s">
        <v>66</v>
      </c>
      <c r="D38" s="85" t="s">
        <v>8</v>
      </c>
      <c r="E38" s="85" t="s">
        <v>9</v>
      </c>
      <c r="F38" s="85" t="s">
        <v>88</v>
      </c>
      <c r="G38" s="86" t="s">
        <v>136</v>
      </c>
      <c r="H38" s="86" t="s">
        <v>138</v>
      </c>
      <c r="I38" s="66" t="s">
        <v>112</v>
      </c>
      <c r="J38" s="117">
        <v>4</v>
      </c>
      <c r="K38" s="67">
        <v>52000000</v>
      </c>
      <c r="L38" s="68" t="s">
        <v>47</v>
      </c>
      <c r="M38" s="118"/>
      <c r="N38" s="117">
        <v>8</v>
      </c>
      <c r="O38" s="67">
        <v>90000000</v>
      </c>
      <c r="P38" s="119"/>
      <c r="Q38" s="67"/>
      <c r="R38" s="67"/>
      <c r="S38" s="120"/>
    </row>
    <row r="39" spans="1:20" s="82" customFormat="1" ht="38.25">
      <c r="A39" s="79">
        <v>5</v>
      </c>
      <c r="B39" s="79" t="s">
        <v>318</v>
      </c>
      <c r="C39" s="83" t="s">
        <v>66</v>
      </c>
      <c r="D39" s="83" t="s">
        <v>8</v>
      </c>
      <c r="E39" s="83" t="s">
        <v>10</v>
      </c>
      <c r="F39" s="79"/>
      <c r="G39" s="80" t="s">
        <v>92</v>
      </c>
      <c r="H39" s="80" t="s">
        <v>309</v>
      </c>
      <c r="I39" s="79"/>
      <c r="J39" s="116">
        <v>100</v>
      </c>
      <c r="K39" s="84">
        <f>SUM(K40:K41)</f>
        <v>211700000</v>
      </c>
      <c r="L39" s="81"/>
      <c r="M39" s="113"/>
      <c r="N39" s="116">
        <v>100</v>
      </c>
      <c r="O39" s="84">
        <f>SUM(O40:O41)</f>
        <v>231000000</v>
      </c>
      <c r="P39" s="115"/>
      <c r="Q39" s="84"/>
      <c r="R39" s="84"/>
      <c r="S39" s="114"/>
    </row>
    <row r="40" spans="1:20" s="69" customFormat="1" ht="63.75">
      <c r="A40" s="66">
        <v>5</v>
      </c>
      <c r="B40" s="66" t="s">
        <v>318</v>
      </c>
      <c r="C40" s="85" t="s">
        <v>66</v>
      </c>
      <c r="D40" s="85" t="s">
        <v>8</v>
      </c>
      <c r="E40" s="85" t="s">
        <v>10</v>
      </c>
      <c r="F40" s="85" t="s">
        <v>66</v>
      </c>
      <c r="G40" s="86" t="s">
        <v>107</v>
      </c>
      <c r="H40" s="86" t="s">
        <v>139</v>
      </c>
      <c r="I40" s="66" t="s">
        <v>37</v>
      </c>
      <c r="J40" s="121" t="s">
        <v>142</v>
      </c>
      <c r="K40" s="67">
        <v>8000000</v>
      </c>
      <c r="L40" s="68" t="s">
        <v>47</v>
      </c>
      <c r="M40" s="118"/>
      <c r="N40" s="121" t="s">
        <v>142</v>
      </c>
      <c r="O40" s="67">
        <v>9000000</v>
      </c>
      <c r="P40" s="119"/>
      <c r="Q40" s="67"/>
      <c r="R40" s="67"/>
      <c r="S40" s="120"/>
    </row>
    <row r="41" spans="1:20" s="69" customFormat="1" ht="38.25">
      <c r="A41" s="66">
        <v>5</v>
      </c>
      <c r="B41" s="66" t="s">
        <v>318</v>
      </c>
      <c r="C41" s="85" t="s">
        <v>66</v>
      </c>
      <c r="D41" s="85" t="s">
        <v>8</v>
      </c>
      <c r="E41" s="85" t="s">
        <v>10</v>
      </c>
      <c r="F41" s="85" t="s">
        <v>111</v>
      </c>
      <c r="G41" s="86" t="s">
        <v>94</v>
      </c>
      <c r="H41" s="86" t="s">
        <v>302</v>
      </c>
      <c r="I41" s="66" t="s">
        <v>37</v>
      </c>
      <c r="J41" s="117">
        <v>12</v>
      </c>
      <c r="K41" s="67">
        <v>203700000</v>
      </c>
      <c r="L41" s="68" t="s">
        <v>47</v>
      </c>
      <c r="M41" s="118"/>
      <c r="N41" s="117">
        <v>12</v>
      </c>
      <c r="O41" s="67">
        <v>222000000</v>
      </c>
      <c r="P41" s="119"/>
      <c r="Q41" s="67"/>
      <c r="R41" s="67"/>
      <c r="S41" s="120"/>
    </row>
    <row r="42" spans="1:20" s="82" customFormat="1" ht="38.25">
      <c r="A42" s="79">
        <v>5</v>
      </c>
      <c r="B42" s="79" t="s">
        <v>318</v>
      </c>
      <c r="C42" s="83" t="s">
        <v>66</v>
      </c>
      <c r="D42" s="83" t="s">
        <v>8</v>
      </c>
      <c r="E42" s="83" t="s">
        <v>11</v>
      </c>
      <c r="F42" s="79"/>
      <c r="G42" s="80" t="s">
        <v>92</v>
      </c>
      <c r="H42" s="80" t="s">
        <v>309</v>
      </c>
      <c r="I42" s="79"/>
      <c r="J42" s="116">
        <v>100</v>
      </c>
      <c r="K42" s="84">
        <f>SUM(K43:K44)</f>
        <v>52000000</v>
      </c>
      <c r="L42" s="81"/>
      <c r="M42" s="113"/>
      <c r="N42" s="116">
        <v>100</v>
      </c>
      <c r="O42" s="84">
        <f>SUM(O43:O44)</f>
        <v>56000000</v>
      </c>
      <c r="P42" s="115"/>
      <c r="Q42" s="84"/>
      <c r="R42" s="84"/>
      <c r="S42" s="114"/>
    </row>
    <row r="43" spans="1:20" s="69" customFormat="1" ht="38.25">
      <c r="A43" s="66">
        <v>5</v>
      </c>
      <c r="B43" s="66" t="s">
        <v>318</v>
      </c>
      <c r="C43" s="85" t="s">
        <v>66</v>
      </c>
      <c r="D43" s="85" t="s">
        <v>8</v>
      </c>
      <c r="E43" s="85" t="s">
        <v>11</v>
      </c>
      <c r="F43" s="85" t="s">
        <v>66</v>
      </c>
      <c r="G43" s="86" t="s">
        <v>119</v>
      </c>
      <c r="H43" s="86" t="s">
        <v>163</v>
      </c>
      <c r="I43" s="66" t="s">
        <v>37</v>
      </c>
      <c r="J43" s="117">
        <v>1</v>
      </c>
      <c r="K43" s="67">
        <v>10000000</v>
      </c>
      <c r="L43" s="68" t="s">
        <v>47</v>
      </c>
      <c r="M43" s="118"/>
      <c r="N43" s="117">
        <v>1</v>
      </c>
      <c r="O43" s="67">
        <v>11000000</v>
      </c>
      <c r="P43" s="119"/>
      <c r="Q43" s="67"/>
      <c r="R43" s="67"/>
      <c r="S43" s="120"/>
    </row>
    <row r="44" spans="1:20" s="69" customFormat="1" ht="25.5">
      <c r="A44" s="66">
        <v>5</v>
      </c>
      <c r="B44" s="66" t="s">
        <v>318</v>
      </c>
      <c r="C44" s="85" t="s">
        <v>66</v>
      </c>
      <c r="D44" s="85" t="s">
        <v>8</v>
      </c>
      <c r="E44" s="66" t="s">
        <v>11</v>
      </c>
      <c r="F44" s="85" t="s">
        <v>88</v>
      </c>
      <c r="G44" s="86" t="s">
        <v>87</v>
      </c>
      <c r="H44" s="86" t="s">
        <v>135</v>
      </c>
      <c r="I44" s="66" t="s">
        <v>37</v>
      </c>
      <c r="J44" s="117">
        <v>12</v>
      </c>
      <c r="K44" s="67">
        <v>42000000</v>
      </c>
      <c r="L44" s="68" t="s">
        <v>47</v>
      </c>
      <c r="M44" s="118"/>
      <c r="N44" s="117">
        <v>12</v>
      </c>
      <c r="O44" s="67">
        <v>45000000</v>
      </c>
      <c r="P44" s="119"/>
      <c r="Q44" s="67"/>
      <c r="R44" s="67"/>
      <c r="S44" s="120"/>
    </row>
    <row r="45" spans="1:20" s="82" customFormat="1" ht="25.5">
      <c r="A45" s="87">
        <v>5</v>
      </c>
      <c r="B45" s="88" t="s">
        <v>318</v>
      </c>
      <c r="C45" s="88" t="s">
        <v>66</v>
      </c>
      <c r="D45" s="88" t="s">
        <v>8</v>
      </c>
      <c r="E45" s="87">
        <v>16</v>
      </c>
      <c r="F45" s="87"/>
      <c r="G45" s="80" t="s">
        <v>42</v>
      </c>
      <c r="H45" s="80" t="s">
        <v>50</v>
      </c>
      <c r="I45" s="79"/>
      <c r="J45" s="116">
        <v>52</v>
      </c>
      <c r="K45" s="84">
        <f>SUM(K46:K49)</f>
        <v>681000000</v>
      </c>
      <c r="L45" s="81"/>
      <c r="M45" s="113"/>
      <c r="N45" s="116">
        <v>53</v>
      </c>
      <c r="O45" s="84">
        <f>SUM(O46:O49)</f>
        <v>1856000000</v>
      </c>
      <c r="P45" s="115" t="e">
        <f>P47+P49+P48+P46</f>
        <v>#REF!</v>
      </c>
      <c r="Q45" s="84" t="e">
        <f>Q47+Q49+Q48+Q46</f>
        <v>#REF!</v>
      </c>
      <c r="R45" s="84" t="e">
        <f>R47+R49+R48+R46</f>
        <v>#REF!</v>
      </c>
      <c r="S45" s="114"/>
    </row>
    <row r="46" spans="1:20" s="69" customFormat="1" ht="51">
      <c r="A46" s="135">
        <v>5</v>
      </c>
      <c r="B46" s="93" t="s">
        <v>318</v>
      </c>
      <c r="C46" s="93" t="s">
        <v>66</v>
      </c>
      <c r="D46" s="90" t="s">
        <v>8</v>
      </c>
      <c r="E46" s="63">
        <v>16</v>
      </c>
      <c r="F46" s="63" t="s">
        <v>66</v>
      </c>
      <c r="G46" s="65" t="s">
        <v>6</v>
      </c>
      <c r="H46" s="65" t="s">
        <v>311</v>
      </c>
      <c r="I46" s="66" t="s">
        <v>38</v>
      </c>
      <c r="J46" s="122">
        <v>20</v>
      </c>
      <c r="K46" s="67">
        <v>181000000</v>
      </c>
      <c r="L46" s="68" t="s">
        <v>47</v>
      </c>
      <c r="M46" s="118"/>
      <c r="N46" s="122">
        <v>20</v>
      </c>
      <c r="O46" s="67">
        <v>236000000</v>
      </c>
      <c r="P46" s="115" t="e">
        <f>#REF!</f>
        <v>#REF!</v>
      </c>
      <c r="Q46" s="84"/>
      <c r="R46" s="84"/>
      <c r="S46" s="120" t="s">
        <v>114</v>
      </c>
    </row>
    <row r="47" spans="1:20" s="69" customFormat="1" ht="51">
      <c r="A47" s="89">
        <v>5</v>
      </c>
      <c r="B47" s="90" t="s">
        <v>318</v>
      </c>
      <c r="C47" s="90" t="s">
        <v>66</v>
      </c>
      <c r="D47" s="90" t="s">
        <v>8</v>
      </c>
      <c r="E47" s="91">
        <v>16</v>
      </c>
      <c r="F47" s="91" t="s">
        <v>8</v>
      </c>
      <c r="G47" s="65" t="s">
        <v>43</v>
      </c>
      <c r="H47" s="65" t="s">
        <v>207</v>
      </c>
      <c r="I47" s="66" t="s">
        <v>246</v>
      </c>
      <c r="J47" s="122">
        <v>2</v>
      </c>
      <c r="K47" s="67">
        <v>200000000</v>
      </c>
      <c r="L47" s="68" t="s">
        <v>47</v>
      </c>
      <c r="M47" s="118"/>
      <c r="N47" s="122">
        <v>1</v>
      </c>
      <c r="O47" s="67">
        <v>236000000</v>
      </c>
      <c r="P47" s="115" t="e">
        <f>SUM(#REF!)</f>
        <v>#REF!</v>
      </c>
      <c r="Q47" s="84" t="e">
        <f>SUM(#REF!)</f>
        <v>#REF!</v>
      </c>
      <c r="R47" s="84" t="e">
        <f>SUM(#REF!)</f>
        <v>#REF!</v>
      </c>
      <c r="S47" s="120" t="s">
        <v>114</v>
      </c>
      <c r="T47" s="123"/>
    </row>
    <row r="48" spans="1:20" s="69" customFormat="1" ht="51">
      <c r="A48" s="62">
        <v>5</v>
      </c>
      <c r="B48" s="63" t="s">
        <v>318</v>
      </c>
      <c r="C48" s="63" t="s">
        <v>66</v>
      </c>
      <c r="D48" s="90" t="s">
        <v>8</v>
      </c>
      <c r="E48" s="63">
        <v>16</v>
      </c>
      <c r="F48" s="63" t="s">
        <v>88</v>
      </c>
      <c r="G48" s="64" t="s">
        <v>173</v>
      </c>
      <c r="H48" s="65" t="s">
        <v>310</v>
      </c>
      <c r="I48" s="66" t="s">
        <v>38</v>
      </c>
      <c r="J48" s="124" t="s">
        <v>324</v>
      </c>
      <c r="K48" s="67">
        <v>200000000</v>
      </c>
      <c r="L48" s="68" t="s">
        <v>47</v>
      </c>
      <c r="M48" s="118"/>
      <c r="N48" s="124" t="s">
        <v>312</v>
      </c>
      <c r="O48" s="67">
        <f>337000000+458000000</f>
        <v>795000000</v>
      </c>
      <c r="P48" s="115" t="e">
        <f>SUM(#REF!)</f>
        <v>#REF!</v>
      </c>
      <c r="Q48" s="84" t="e">
        <f>SUM(#REF!)</f>
        <v>#REF!</v>
      </c>
      <c r="R48" s="84" t="e">
        <f>SUM(#REF!)</f>
        <v>#REF!</v>
      </c>
      <c r="S48" s="120" t="s">
        <v>114</v>
      </c>
      <c r="T48" s="123"/>
    </row>
    <row r="49" spans="1:20" s="69" customFormat="1" ht="38.25">
      <c r="A49" s="62">
        <v>5</v>
      </c>
      <c r="B49" s="63" t="s">
        <v>318</v>
      </c>
      <c r="C49" s="63" t="s">
        <v>66</v>
      </c>
      <c r="D49" s="90" t="s">
        <v>8</v>
      </c>
      <c r="E49" s="63">
        <v>16</v>
      </c>
      <c r="F49" s="63" t="s">
        <v>111</v>
      </c>
      <c r="G49" s="64" t="s">
        <v>172</v>
      </c>
      <c r="H49" s="65" t="s">
        <v>171</v>
      </c>
      <c r="I49" s="66" t="s">
        <v>38</v>
      </c>
      <c r="J49" s="122">
        <v>1</v>
      </c>
      <c r="K49" s="67">
        <v>100000000</v>
      </c>
      <c r="L49" s="68" t="s">
        <v>47</v>
      </c>
      <c r="M49" s="118"/>
      <c r="N49" s="122">
        <v>2</v>
      </c>
      <c r="O49" s="67">
        <f>236000000+353000000</f>
        <v>589000000</v>
      </c>
      <c r="P49" s="115" t="e">
        <f>SUM(#REF!)</f>
        <v>#REF!</v>
      </c>
      <c r="Q49" s="84" t="e">
        <f>SUM(#REF!)</f>
        <v>#REF!</v>
      </c>
      <c r="R49" s="84" t="e">
        <f>SUM(#REF!)</f>
        <v>#REF!</v>
      </c>
      <c r="S49" s="120" t="s">
        <v>114</v>
      </c>
      <c r="T49" s="123"/>
    </row>
    <row r="50" spans="1:20" s="82" customFormat="1" ht="25.5">
      <c r="A50" s="95">
        <v>5</v>
      </c>
      <c r="B50" s="96" t="s">
        <v>318</v>
      </c>
      <c r="C50" s="96" t="s">
        <v>66</v>
      </c>
      <c r="D50" s="96" t="s">
        <v>8</v>
      </c>
      <c r="E50" s="96">
        <v>17</v>
      </c>
      <c r="F50" s="95"/>
      <c r="G50" s="97" t="s">
        <v>57</v>
      </c>
      <c r="H50" s="97" t="s">
        <v>51</v>
      </c>
      <c r="I50" s="79"/>
      <c r="J50" s="81">
        <v>52</v>
      </c>
      <c r="K50" s="84">
        <f>SUM(K51:K57)</f>
        <v>2200000000</v>
      </c>
      <c r="L50" s="81"/>
      <c r="M50" s="113"/>
      <c r="N50" s="81">
        <v>53</v>
      </c>
      <c r="O50" s="84">
        <f>SUM(O51:O57)</f>
        <v>5401000000</v>
      </c>
      <c r="P50" s="115" t="e">
        <f>P57+P54+P55+P51+P52+P53</f>
        <v>#REF!</v>
      </c>
      <c r="Q50" s="84" t="e">
        <f>Q57+Q54+Q55+Q51+Q52+Q53</f>
        <v>#REF!</v>
      </c>
      <c r="R50" s="84" t="e">
        <f>R57+R54+R55+R51+R52+R53</f>
        <v>#REF!</v>
      </c>
      <c r="S50" s="114"/>
    </row>
    <row r="51" spans="1:20" s="69" customFormat="1" ht="25.5" customHeight="1">
      <c r="A51" s="92">
        <v>5</v>
      </c>
      <c r="B51" s="91" t="s">
        <v>318</v>
      </c>
      <c r="C51" s="91" t="s">
        <v>66</v>
      </c>
      <c r="D51" s="90" t="s">
        <v>8</v>
      </c>
      <c r="E51" s="91">
        <v>17</v>
      </c>
      <c r="F51" s="91" t="s">
        <v>66</v>
      </c>
      <c r="G51" s="65" t="s">
        <v>56</v>
      </c>
      <c r="H51" s="65" t="s">
        <v>178</v>
      </c>
      <c r="I51" s="66" t="s">
        <v>38</v>
      </c>
      <c r="J51" s="122">
        <v>8</v>
      </c>
      <c r="K51" s="67">
        <v>550000000</v>
      </c>
      <c r="L51" s="68" t="s">
        <v>47</v>
      </c>
      <c r="M51" s="118"/>
      <c r="N51" s="122">
        <v>10</v>
      </c>
      <c r="O51" s="67">
        <v>1257000000</v>
      </c>
      <c r="P51" s="115" t="e">
        <f>SUM(#REF!)</f>
        <v>#REF!</v>
      </c>
      <c r="Q51" s="84" t="e">
        <f>SUM(#REF!)</f>
        <v>#REF!</v>
      </c>
      <c r="R51" s="84" t="e">
        <f>SUM(#REF!)</f>
        <v>#REF!</v>
      </c>
      <c r="S51" s="120" t="s">
        <v>115</v>
      </c>
      <c r="T51" s="123"/>
    </row>
    <row r="52" spans="1:20" s="69" customFormat="1" ht="25.5">
      <c r="A52" s="62">
        <v>5</v>
      </c>
      <c r="B52" s="63" t="s">
        <v>318</v>
      </c>
      <c r="C52" s="63" t="s">
        <v>66</v>
      </c>
      <c r="D52" s="93" t="s">
        <v>8</v>
      </c>
      <c r="E52" s="91">
        <v>17</v>
      </c>
      <c r="F52" s="91" t="s">
        <v>8</v>
      </c>
      <c r="G52" s="64" t="s">
        <v>248</v>
      </c>
      <c r="H52" s="65" t="s">
        <v>266</v>
      </c>
      <c r="I52" s="66" t="s">
        <v>37</v>
      </c>
      <c r="J52" s="122">
        <v>50</v>
      </c>
      <c r="K52" s="67">
        <v>800000000</v>
      </c>
      <c r="L52" s="68" t="s">
        <v>47</v>
      </c>
      <c r="M52" s="118"/>
      <c r="N52" s="122">
        <v>60</v>
      </c>
      <c r="O52" s="67">
        <v>1509000000</v>
      </c>
      <c r="P52" s="115" t="e">
        <f>SUM(#REF!)</f>
        <v>#REF!</v>
      </c>
      <c r="Q52" s="84" t="e">
        <f>SUM(#REF!)</f>
        <v>#REF!</v>
      </c>
      <c r="R52" s="84" t="e">
        <f>SUM(#REF!)</f>
        <v>#REF!</v>
      </c>
      <c r="S52" s="120" t="s">
        <v>115</v>
      </c>
      <c r="T52" s="123"/>
    </row>
    <row r="53" spans="1:20" s="69" customFormat="1" ht="25.5">
      <c r="A53" s="92">
        <v>5</v>
      </c>
      <c r="B53" s="91" t="s">
        <v>318</v>
      </c>
      <c r="C53" s="91" t="s">
        <v>66</v>
      </c>
      <c r="D53" s="90" t="s">
        <v>8</v>
      </c>
      <c r="E53" s="91">
        <v>17</v>
      </c>
      <c r="F53" s="91" t="s">
        <v>88</v>
      </c>
      <c r="G53" s="65" t="s">
        <v>179</v>
      </c>
      <c r="H53" s="65" t="s">
        <v>185</v>
      </c>
      <c r="I53" s="66" t="s">
        <v>38</v>
      </c>
      <c r="J53" s="124">
        <v>200</v>
      </c>
      <c r="K53" s="67">
        <v>200000000</v>
      </c>
      <c r="L53" s="68" t="s">
        <v>47</v>
      </c>
      <c r="M53" s="118"/>
      <c r="N53" s="124">
        <v>450</v>
      </c>
      <c r="O53" s="67">
        <v>707000000</v>
      </c>
      <c r="P53" s="115" t="e">
        <f>SUM(#REF!)</f>
        <v>#REF!</v>
      </c>
      <c r="Q53" s="84" t="e">
        <f>SUM(#REF!)</f>
        <v>#REF!</v>
      </c>
      <c r="R53" s="84" t="e">
        <f>SUM(#REF!)</f>
        <v>#REF!</v>
      </c>
      <c r="S53" s="120" t="s">
        <v>115</v>
      </c>
      <c r="T53" s="123"/>
    </row>
    <row r="54" spans="1:20" s="69" customFormat="1" ht="25.5">
      <c r="A54" s="135">
        <v>5</v>
      </c>
      <c r="B54" s="93" t="s">
        <v>318</v>
      </c>
      <c r="C54" s="93" t="s">
        <v>66</v>
      </c>
      <c r="D54" s="93" t="s">
        <v>8</v>
      </c>
      <c r="E54" s="91">
        <v>17</v>
      </c>
      <c r="F54" s="91" t="s">
        <v>111</v>
      </c>
      <c r="G54" s="64" t="s">
        <v>46</v>
      </c>
      <c r="H54" s="65" t="s">
        <v>176</v>
      </c>
      <c r="I54" s="66" t="s">
        <v>38</v>
      </c>
      <c r="J54" s="122">
        <v>20</v>
      </c>
      <c r="K54" s="67">
        <v>100000000</v>
      </c>
      <c r="L54" s="68" t="s">
        <v>47</v>
      </c>
      <c r="M54" s="118"/>
      <c r="N54" s="122">
        <v>20</v>
      </c>
      <c r="O54" s="67">
        <v>359000000</v>
      </c>
      <c r="P54" s="115" t="e">
        <f>SUM(#REF!)</f>
        <v>#REF!</v>
      </c>
      <c r="Q54" s="84" t="e">
        <f>SUM(#REF!)</f>
        <v>#REF!</v>
      </c>
      <c r="R54" s="84" t="e">
        <f>SUM(#REF!)</f>
        <v>#REF!</v>
      </c>
      <c r="S54" s="120" t="s">
        <v>115</v>
      </c>
      <c r="T54" s="123"/>
    </row>
    <row r="55" spans="1:20" s="69" customFormat="1" ht="25.5" customHeight="1">
      <c r="A55" s="89">
        <v>5</v>
      </c>
      <c r="B55" s="90" t="s">
        <v>318</v>
      </c>
      <c r="C55" s="90" t="s">
        <v>66</v>
      </c>
      <c r="D55" s="90" t="s">
        <v>8</v>
      </c>
      <c r="E55" s="91">
        <v>17</v>
      </c>
      <c r="F55" s="91" t="s">
        <v>9</v>
      </c>
      <c r="G55" s="65" t="s">
        <v>161</v>
      </c>
      <c r="H55" s="65" t="s">
        <v>177</v>
      </c>
      <c r="I55" s="66" t="s">
        <v>38</v>
      </c>
      <c r="J55" s="122">
        <v>15</v>
      </c>
      <c r="K55" s="67">
        <v>400000000</v>
      </c>
      <c r="L55" s="68" t="s">
        <v>47</v>
      </c>
      <c r="M55" s="118"/>
      <c r="N55" s="122">
        <v>17</v>
      </c>
      <c r="O55" s="67">
        <v>449000000</v>
      </c>
      <c r="P55" s="115" t="e">
        <f>#REF!</f>
        <v>#REF!</v>
      </c>
      <c r="Q55" s="67"/>
      <c r="R55" s="67"/>
      <c r="S55" s="120" t="s">
        <v>115</v>
      </c>
    </row>
    <row r="56" spans="1:20" s="69" customFormat="1" ht="38.25">
      <c r="A56" s="89">
        <v>5</v>
      </c>
      <c r="B56" s="90" t="s">
        <v>318</v>
      </c>
      <c r="C56" s="90" t="s">
        <v>66</v>
      </c>
      <c r="D56" s="90" t="s">
        <v>8</v>
      </c>
      <c r="E56" s="91">
        <v>17</v>
      </c>
      <c r="F56" s="91" t="s">
        <v>10</v>
      </c>
      <c r="G56" s="65" t="s">
        <v>239</v>
      </c>
      <c r="H56" s="65" t="s">
        <v>183</v>
      </c>
      <c r="I56" s="66" t="s">
        <v>38</v>
      </c>
      <c r="J56" s="122">
        <v>100</v>
      </c>
      <c r="K56" s="67">
        <v>100000000</v>
      </c>
      <c r="L56" s="68" t="s">
        <v>47</v>
      </c>
      <c r="M56" s="118"/>
      <c r="N56" s="122">
        <v>200</v>
      </c>
      <c r="O56" s="67">
        <v>419000000</v>
      </c>
      <c r="P56" s="119"/>
      <c r="Q56" s="67"/>
      <c r="R56" s="67"/>
      <c r="S56" s="120" t="s">
        <v>115</v>
      </c>
    </row>
    <row r="57" spans="1:20" s="69" customFormat="1" ht="38.25">
      <c r="A57" s="89">
        <v>5</v>
      </c>
      <c r="B57" s="90" t="s">
        <v>318</v>
      </c>
      <c r="C57" s="90" t="s">
        <v>66</v>
      </c>
      <c r="D57" s="90" t="s">
        <v>8</v>
      </c>
      <c r="E57" s="91">
        <v>17</v>
      </c>
      <c r="F57" s="91" t="s">
        <v>11</v>
      </c>
      <c r="G57" s="65" t="s">
        <v>44</v>
      </c>
      <c r="H57" s="65" t="s">
        <v>263</v>
      </c>
      <c r="I57" s="66" t="s">
        <v>38</v>
      </c>
      <c r="J57" s="124">
        <v>1</v>
      </c>
      <c r="K57" s="67">
        <v>50000000</v>
      </c>
      <c r="L57" s="68" t="s">
        <v>47</v>
      </c>
      <c r="M57" s="118"/>
      <c r="N57" s="124">
        <v>11</v>
      </c>
      <c r="O57" s="67">
        <v>701000000</v>
      </c>
      <c r="P57" s="115" t="e">
        <f>SUM(#REF!)</f>
        <v>#REF!</v>
      </c>
      <c r="Q57" s="84" t="e">
        <f>SUM(#REF!)</f>
        <v>#REF!</v>
      </c>
      <c r="R57" s="84" t="e">
        <f>SUM(#REF!)</f>
        <v>#REF!</v>
      </c>
      <c r="S57" s="120" t="s">
        <v>115</v>
      </c>
    </row>
    <row r="58" spans="1:20" s="82" customFormat="1" ht="25.5">
      <c r="A58" s="95">
        <v>5</v>
      </c>
      <c r="B58" s="96" t="s">
        <v>318</v>
      </c>
      <c r="C58" s="96" t="s">
        <v>66</v>
      </c>
      <c r="D58" s="96" t="s">
        <v>8</v>
      </c>
      <c r="E58" s="95">
        <v>18</v>
      </c>
      <c r="F58" s="95"/>
      <c r="G58" s="97" t="s">
        <v>192</v>
      </c>
      <c r="H58" s="97" t="s">
        <v>193</v>
      </c>
      <c r="I58" s="79"/>
      <c r="J58" s="81">
        <v>72</v>
      </c>
      <c r="K58" s="84">
        <f>SUM(K59:K61)</f>
        <v>350000000</v>
      </c>
      <c r="L58" s="81"/>
      <c r="M58" s="113"/>
      <c r="N58" s="81">
        <v>73</v>
      </c>
      <c r="O58" s="84">
        <f>SUM(O59:O61)</f>
        <v>864000000</v>
      </c>
      <c r="P58" s="115" t="e">
        <f>P61+P59+P60</f>
        <v>#REF!</v>
      </c>
      <c r="Q58" s="84" t="e">
        <f>Q61+Q59+Q60</f>
        <v>#REF!</v>
      </c>
      <c r="R58" s="84" t="e">
        <f>R61+R59+R60</f>
        <v>#REF!</v>
      </c>
      <c r="S58" s="114"/>
    </row>
    <row r="59" spans="1:20" s="69" customFormat="1" ht="38.25">
      <c r="A59" s="92">
        <v>5</v>
      </c>
      <c r="B59" s="91" t="s">
        <v>318</v>
      </c>
      <c r="C59" s="91" t="s">
        <v>66</v>
      </c>
      <c r="D59" s="91" t="s">
        <v>8</v>
      </c>
      <c r="E59" s="92">
        <v>18</v>
      </c>
      <c r="F59" s="91" t="s">
        <v>66</v>
      </c>
      <c r="G59" s="65" t="s">
        <v>169</v>
      </c>
      <c r="H59" s="94" t="s">
        <v>196</v>
      </c>
      <c r="I59" s="127" t="s">
        <v>38</v>
      </c>
      <c r="J59" s="128">
        <v>72</v>
      </c>
      <c r="K59" s="70">
        <v>100000000</v>
      </c>
      <c r="L59" s="129" t="s">
        <v>47</v>
      </c>
      <c r="M59" s="130"/>
      <c r="N59" s="128">
        <v>73</v>
      </c>
      <c r="O59" s="67">
        <v>393000000</v>
      </c>
      <c r="P59" s="115" t="e">
        <f>SUM(#REF!)</f>
        <v>#REF!</v>
      </c>
      <c r="Q59" s="84" t="e">
        <f>SUM(#REF!)</f>
        <v>#REF!</v>
      </c>
      <c r="R59" s="84" t="e">
        <f>SUM(#REF!)</f>
        <v>#REF!</v>
      </c>
      <c r="S59" s="120" t="s">
        <v>117</v>
      </c>
    </row>
    <row r="60" spans="1:20" s="69" customFormat="1" ht="38.25">
      <c r="A60" s="92">
        <v>5</v>
      </c>
      <c r="B60" s="91" t="s">
        <v>318</v>
      </c>
      <c r="C60" s="91" t="s">
        <v>66</v>
      </c>
      <c r="D60" s="91" t="s">
        <v>8</v>
      </c>
      <c r="E60" s="92">
        <v>18</v>
      </c>
      <c r="F60" s="91" t="s">
        <v>8</v>
      </c>
      <c r="G60" s="65" t="s">
        <v>110</v>
      </c>
      <c r="H60" s="65" t="s">
        <v>197</v>
      </c>
      <c r="I60" s="127" t="s">
        <v>38</v>
      </c>
      <c r="J60" s="128">
        <v>72</v>
      </c>
      <c r="K60" s="70">
        <v>100000000</v>
      </c>
      <c r="L60" s="129" t="s">
        <v>47</v>
      </c>
      <c r="M60" s="130"/>
      <c r="N60" s="128">
        <v>73</v>
      </c>
      <c r="O60" s="67">
        <v>247000000</v>
      </c>
      <c r="P60" s="115" t="e">
        <f>SUM(#REF!)</f>
        <v>#REF!</v>
      </c>
      <c r="Q60" s="84" t="e">
        <f>SUM(#REF!)</f>
        <v>#REF!</v>
      </c>
      <c r="R60" s="84" t="e">
        <f>SUM(#REF!)</f>
        <v>#REF!</v>
      </c>
      <c r="S60" s="120" t="s">
        <v>117</v>
      </c>
    </row>
    <row r="61" spans="1:20" s="69" customFormat="1" ht="25.5" customHeight="1">
      <c r="A61" s="136">
        <v>5</v>
      </c>
      <c r="B61" s="126" t="s">
        <v>318</v>
      </c>
      <c r="C61" s="126" t="s">
        <v>66</v>
      </c>
      <c r="D61" s="91" t="s">
        <v>8</v>
      </c>
      <c r="E61" s="92">
        <v>18</v>
      </c>
      <c r="F61" s="126" t="s">
        <v>88</v>
      </c>
      <c r="G61" s="64" t="s">
        <v>195</v>
      </c>
      <c r="H61" s="65" t="s">
        <v>194</v>
      </c>
      <c r="I61" s="66" t="s">
        <v>38</v>
      </c>
      <c r="J61" s="124">
        <v>72</v>
      </c>
      <c r="K61" s="67">
        <v>150000000</v>
      </c>
      <c r="L61" s="68" t="s">
        <v>47</v>
      </c>
      <c r="M61" s="118"/>
      <c r="N61" s="124">
        <v>73</v>
      </c>
      <c r="O61" s="67">
        <v>224000000</v>
      </c>
      <c r="P61" s="115" t="e">
        <f>SUM(#REF!)</f>
        <v>#REF!</v>
      </c>
      <c r="Q61" s="84" t="e">
        <f>SUM(#REF!)</f>
        <v>#REF!</v>
      </c>
      <c r="R61" s="84" t="e">
        <f>SUM(#REF!)</f>
        <v>#REF!</v>
      </c>
      <c r="S61" s="120" t="s">
        <v>117</v>
      </c>
    </row>
    <row r="62" spans="1:20" s="82" customFormat="1" ht="25.5" customHeight="1">
      <c r="A62" s="95">
        <v>5</v>
      </c>
      <c r="B62" s="96" t="s">
        <v>318</v>
      </c>
      <c r="C62" s="96" t="s">
        <v>66</v>
      </c>
      <c r="D62" s="96" t="s">
        <v>8</v>
      </c>
      <c r="E62" s="95">
        <v>19</v>
      </c>
      <c r="F62" s="95"/>
      <c r="G62" s="97" t="s">
        <v>247</v>
      </c>
      <c r="H62" s="97" t="s">
        <v>268</v>
      </c>
      <c r="I62" s="79"/>
      <c r="J62" s="81">
        <v>72</v>
      </c>
      <c r="K62" s="84">
        <f>SUM(K63:K64)</f>
        <v>450000000</v>
      </c>
      <c r="L62" s="81"/>
      <c r="M62" s="113"/>
      <c r="N62" s="81">
        <v>73</v>
      </c>
      <c r="O62" s="84">
        <f>SUM(O63:O64)</f>
        <v>898000000</v>
      </c>
      <c r="P62" s="115" t="e">
        <f>P63+P64</f>
        <v>#REF!</v>
      </c>
      <c r="Q62" s="84" t="e">
        <f>Q63+Q64</f>
        <v>#REF!</v>
      </c>
      <c r="R62" s="84" t="e">
        <f>R63+R64</f>
        <v>#REF!</v>
      </c>
      <c r="S62" s="114"/>
    </row>
    <row r="63" spans="1:20" s="69" customFormat="1" ht="38.25">
      <c r="A63" s="92">
        <v>5</v>
      </c>
      <c r="B63" s="91" t="s">
        <v>318</v>
      </c>
      <c r="C63" s="91" t="s">
        <v>66</v>
      </c>
      <c r="D63" s="91" t="s">
        <v>8</v>
      </c>
      <c r="E63" s="91">
        <v>19</v>
      </c>
      <c r="F63" s="91" t="s">
        <v>66</v>
      </c>
      <c r="G63" s="65" t="s">
        <v>170</v>
      </c>
      <c r="H63" s="65" t="s">
        <v>303</v>
      </c>
      <c r="I63" s="66" t="s">
        <v>38</v>
      </c>
      <c r="J63" s="122">
        <v>20</v>
      </c>
      <c r="K63" s="67">
        <v>250000000</v>
      </c>
      <c r="L63" s="68" t="s">
        <v>47</v>
      </c>
      <c r="M63" s="118"/>
      <c r="N63" s="122">
        <v>20</v>
      </c>
      <c r="O63" s="67">
        <v>561000000</v>
      </c>
      <c r="P63" s="115" t="e">
        <f>SUM(#REF!)</f>
        <v>#REF!</v>
      </c>
      <c r="Q63" s="84" t="e">
        <f>SUM(#REF!)</f>
        <v>#REF!</v>
      </c>
      <c r="R63" s="84" t="e">
        <f>SUM(#REF!)</f>
        <v>#REF!</v>
      </c>
      <c r="S63" s="120" t="s">
        <v>116</v>
      </c>
    </row>
    <row r="64" spans="1:20" s="69" customFormat="1" ht="51">
      <c r="A64" s="92">
        <v>5</v>
      </c>
      <c r="B64" s="91" t="s">
        <v>318</v>
      </c>
      <c r="C64" s="91" t="s">
        <v>66</v>
      </c>
      <c r="D64" s="91" t="s">
        <v>8</v>
      </c>
      <c r="E64" s="91">
        <v>19</v>
      </c>
      <c r="F64" s="91" t="s">
        <v>8</v>
      </c>
      <c r="G64" s="65" t="s">
        <v>62</v>
      </c>
      <c r="H64" s="65" t="s">
        <v>304</v>
      </c>
      <c r="I64" s="66" t="s">
        <v>38</v>
      </c>
      <c r="J64" s="124">
        <v>20</v>
      </c>
      <c r="K64" s="67">
        <v>200000000</v>
      </c>
      <c r="L64" s="68" t="s">
        <v>47</v>
      </c>
      <c r="M64" s="118"/>
      <c r="N64" s="124">
        <v>20</v>
      </c>
      <c r="O64" s="67">
        <v>337000000</v>
      </c>
      <c r="P64" s="115" t="e">
        <f>#REF!</f>
        <v>#REF!</v>
      </c>
      <c r="Q64" s="67"/>
      <c r="R64" s="67"/>
      <c r="S64" s="120" t="s">
        <v>116</v>
      </c>
    </row>
    <row r="65" spans="1:20" s="82" customFormat="1" ht="25.5">
      <c r="A65" s="95">
        <v>5</v>
      </c>
      <c r="B65" s="96" t="s">
        <v>318</v>
      </c>
      <c r="C65" s="96" t="s">
        <v>66</v>
      </c>
      <c r="D65" s="96" t="s">
        <v>8</v>
      </c>
      <c r="E65" s="95">
        <v>20</v>
      </c>
      <c r="F65" s="95"/>
      <c r="G65" s="97" t="s">
        <v>180</v>
      </c>
      <c r="H65" s="97" t="s">
        <v>181</v>
      </c>
      <c r="I65" s="79"/>
      <c r="J65" s="81">
        <v>52</v>
      </c>
      <c r="K65" s="84">
        <f>SUM(K66:K69)</f>
        <v>213649062</v>
      </c>
      <c r="L65" s="81"/>
      <c r="M65" s="113"/>
      <c r="N65" s="81">
        <v>53</v>
      </c>
      <c r="O65" s="84">
        <f>SUM(O66:O69)</f>
        <v>1837220711</v>
      </c>
      <c r="P65" s="115" t="e">
        <f>P68+P66+P67+P69</f>
        <v>#REF!</v>
      </c>
      <c r="Q65" s="84" t="e">
        <f>Q68+Q66+Q67+Q69</f>
        <v>#REF!</v>
      </c>
      <c r="R65" s="84" t="e">
        <f>R68+R66+R67+R69</f>
        <v>#REF!</v>
      </c>
      <c r="S65" s="125" t="s">
        <v>243</v>
      </c>
    </row>
    <row r="66" spans="1:20" s="69" customFormat="1" ht="38.25">
      <c r="A66" s="92">
        <v>5</v>
      </c>
      <c r="B66" s="91" t="s">
        <v>318</v>
      </c>
      <c r="C66" s="91" t="s">
        <v>66</v>
      </c>
      <c r="D66" s="91" t="s">
        <v>8</v>
      </c>
      <c r="E66" s="91">
        <v>20</v>
      </c>
      <c r="F66" s="91" t="s">
        <v>66</v>
      </c>
      <c r="G66" s="65" t="s">
        <v>54</v>
      </c>
      <c r="H66" s="65" t="s">
        <v>187</v>
      </c>
      <c r="I66" s="66" t="s">
        <v>38</v>
      </c>
      <c r="J66" s="122">
        <v>1</v>
      </c>
      <c r="K66" s="67">
        <v>113649062</v>
      </c>
      <c r="L66" s="68" t="s">
        <v>47</v>
      </c>
      <c r="M66" s="118"/>
      <c r="N66" s="122">
        <v>2</v>
      </c>
      <c r="O66" s="67">
        <v>537220711</v>
      </c>
      <c r="P66" s="115" t="e">
        <f>SUM(#REF!)</f>
        <v>#REF!</v>
      </c>
      <c r="Q66" s="84" t="e">
        <f>SUM(#REF!)</f>
        <v>#REF!</v>
      </c>
      <c r="R66" s="84" t="e">
        <f>SUM(#REF!)</f>
        <v>#REF!</v>
      </c>
      <c r="S66" s="120" t="s">
        <v>115</v>
      </c>
      <c r="T66" s="123"/>
    </row>
    <row r="67" spans="1:20" s="69" customFormat="1" ht="51">
      <c r="A67" s="62">
        <v>5</v>
      </c>
      <c r="B67" s="63" t="s">
        <v>318</v>
      </c>
      <c r="C67" s="63" t="s">
        <v>66</v>
      </c>
      <c r="D67" s="63" t="s">
        <v>8</v>
      </c>
      <c r="E67" s="63">
        <v>20</v>
      </c>
      <c r="F67" s="63" t="s">
        <v>8</v>
      </c>
      <c r="G67" s="64" t="s">
        <v>60</v>
      </c>
      <c r="H67" s="65" t="s">
        <v>188</v>
      </c>
      <c r="I67" s="66" t="s">
        <v>38</v>
      </c>
      <c r="J67" s="122">
        <v>1</v>
      </c>
      <c r="K67" s="67">
        <v>100000000</v>
      </c>
      <c r="L67" s="68" t="s">
        <v>47</v>
      </c>
      <c r="M67" s="118"/>
      <c r="N67" s="122">
        <v>2</v>
      </c>
      <c r="O67" s="67">
        <v>471000000</v>
      </c>
      <c r="P67" s="115" t="e">
        <f>SUM(#REF!)</f>
        <v>#REF!</v>
      </c>
      <c r="Q67" s="84" t="e">
        <f>SUM(#REF!)</f>
        <v>#REF!</v>
      </c>
      <c r="R67" s="84" t="e">
        <f>SUM(#REF!)</f>
        <v>#REF!</v>
      </c>
      <c r="S67" s="120" t="s">
        <v>116</v>
      </c>
      <c r="T67" s="123"/>
    </row>
    <row r="68" spans="1:20" s="69" customFormat="1" ht="38.25">
      <c r="A68" s="89">
        <v>5</v>
      </c>
      <c r="B68" s="90" t="s">
        <v>318</v>
      </c>
      <c r="C68" s="90" t="s">
        <v>66</v>
      </c>
      <c r="D68" s="90" t="s">
        <v>8</v>
      </c>
      <c r="E68" s="91">
        <v>20</v>
      </c>
      <c r="F68" s="92" t="s">
        <v>299</v>
      </c>
      <c r="G68" s="65" t="s">
        <v>45</v>
      </c>
      <c r="H68" s="65" t="s">
        <v>313</v>
      </c>
      <c r="I68" s="66" t="s">
        <v>38</v>
      </c>
      <c r="J68" s="122">
        <v>0</v>
      </c>
      <c r="K68" s="67">
        <v>0</v>
      </c>
      <c r="L68" s="68" t="s">
        <v>47</v>
      </c>
      <c r="M68" s="118"/>
      <c r="N68" s="122">
        <v>1</v>
      </c>
      <c r="O68" s="67">
        <v>629000000</v>
      </c>
      <c r="P68" s="115" t="e">
        <f>SUM(#REF!)</f>
        <v>#REF!</v>
      </c>
      <c r="Q68" s="84" t="e">
        <f>SUM(#REF!)</f>
        <v>#REF!</v>
      </c>
      <c r="R68" s="84" t="e">
        <f>SUM(#REF!)</f>
        <v>#REF!</v>
      </c>
      <c r="S68" s="120" t="s">
        <v>114</v>
      </c>
      <c r="T68" s="123"/>
    </row>
    <row r="69" spans="1:20" s="69" customFormat="1" ht="38.25">
      <c r="A69" s="62">
        <v>5</v>
      </c>
      <c r="B69" s="63" t="s">
        <v>318</v>
      </c>
      <c r="C69" s="63" t="s">
        <v>66</v>
      </c>
      <c r="D69" s="63" t="s">
        <v>8</v>
      </c>
      <c r="E69" s="63">
        <v>20</v>
      </c>
      <c r="F69" s="62" t="s">
        <v>299</v>
      </c>
      <c r="G69" s="64" t="s">
        <v>164</v>
      </c>
      <c r="H69" s="65" t="s">
        <v>301</v>
      </c>
      <c r="I69" s="66" t="s">
        <v>37</v>
      </c>
      <c r="J69" s="124">
        <v>0</v>
      </c>
      <c r="K69" s="67">
        <v>0</v>
      </c>
      <c r="L69" s="68" t="s">
        <v>47</v>
      </c>
      <c r="M69" s="118"/>
      <c r="N69" s="124">
        <v>1</v>
      </c>
      <c r="O69" s="67">
        <v>200000000</v>
      </c>
      <c r="P69" s="115" t="e">
        <f>SUM(#REF!)</f>
        <v>#REF!</v>
      </c>
      <c r="Q69" s="84" t="e">
        <f>SUM(#REF!)</f>
        <v>#REF!</v>
      </c>
      <c r="R69" s="84" t="e">
        <f>SUM(#REF!)</f>
        <v>#REF!</v>
      </c>
      <c r="S69" s="120" t="s">
        <v>117</v>
      </c>
      <c r="T69" s="123"/>
    </row>
    <row r="70" spans="1:20" s="99" customFormat="1" ht="13.5" thickBot="1">
      <c r="A70" s="142"/>
      <c r="B70" s="143"/>
      <c r="C70" s="143"/>
      <c r="D70" s="143"/>
      <c r="E70" s="143"/>
      <c r="F70" s="143"/>
      <c r="G70" s="144" t="s">
        <v>65</v>
      </c>
      <c r="H70" s="137"/>
      <c r="I70" s="138"/>
      <c r="J70" s="139"/>
      <c r="K70" s="140">
        <f>SUM(K9)</f>
        <v>6261249062</v>
      </c>
      <c r="L70" s="98"/>
      <c r="M70" s="141"/>
      <c r="N70" s="139"/>
      <c r="O70" s="140">
        <f>SUM(O9)</f>
        <v>14642220711</v>
      </c>
      <c r="P70" s="132" t="e">
        <f>P58+P62+P65+P50+P45</f>
        <v>#REF!</v>
      </c>
      <c r="Q70" s="131" t="e">
        <f>Q58+Q62+Q65+Q50+Q45</f>
        <v>#REF!</v>
      </c>
      <c r="R70" s="131" t="e">
        <f>R58+R62+R65+R50+R45</f>
        <v>#REF!</v>
      </c>
      <c r="S70" s="133"/>
    </row>
    <row r="71" spans="1:20" ht="9" customHeight="1">
      <c r="I71" s="134"/>
      <c r="J71" s="134"/>
    </row>
  </sheetData>
  <mergeCells count="9">
    <mergeCell ref="A7:E7"/>
    <mergeCell ref="M5:M6"/>
    <mergeCell ref="N5:O5"/>
    <mergeCell ref="P5:R5"/>
    <mergeCell ref="S5:S6"/>
    <mergeCell ref="G5:G6"/>
    <mergeCell ref="H5:H6"/>
    <mergeCell ref="I5:L5"/>
    <mergeCell ref="A5:F6"/>
  </mergeCells>
  <printOptions horizontalCentered="1"/>
  <pageMargins left="1.1811023622047245" right="1.1811023622047245" top="1.5748031496062993" bottom="1.1811023622047245" header="0.31496062992125984" footer="0.31496062992125984"/>
  <pageSetup paperSize="9" scale="80" orientation="landscape" horizontalDpi="4294967293" r:id="rId1"/>
  <rowBreaks count="4" manualBreakCount="4">
    <brk id="20" max="14" man="1"/>
    <brk id="34" max="16383" man="1"/>
    <brk id="44" max="16383" man="1"/>
    <brk id="5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Tabel 2.a</vt:lpstr>
      <vt:lpstr>Tabel 2.b</vt:lpstr>
      <vt:lpstr>Tabel 3.3</vt:lpstr>
      <vt:lpstr>'Tabel 2.a'!Print_Titles</vt:lpstr>
      <vt:lpstr>'Tabel 2.b'!Print_Titles</vt:lpstr>
      <vt:lpstr>'Tabel 3.3'!Print_Titles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</dc:creator>
  <cp:lastModifiedBy>Sony</cp:lastModifiedBy>
  <cp:lastPrinted>2016-12-28T11:13:15Z</cp:lastPrinted>
  <dcterms:created xsi:type="dcterms:W3CDTF">2012-01-25T09:01:41Z</dcterms:created>
  <dcterms:modified xsi:type="dcterms:W3CDTF">2017-01-02T01:02:34Z</dcterms:modified>
</cp:coreProperties>
</file>